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" yWindow="252" windowWidth="20352" windowHeight="8796" activeTab="1"/>
  </bookViews>
  <sheets>
    <sheet name="2018-19" sheetId="1" r:id="rId1"/>
    <sheet name="Summary Table" sheetId="3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00" i="1" l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2" i="1"/>
  <c r="Q51" i="1"/>
  <c r="Q49" i="1"/>
  <c r="Q48" i="1"/>
  <c r="Q47" i="1"/>
  <c r="Q46" i="1"/>
  <c r="Q45" i="1"/>
  <c r="Q44" i="1"/>
  <c r="Q43" i="1"/>
  <c r="Q42" i="1"/>
  <c r="Q41" i="1"/>
  <c r="Q40" i="1"/>
  <c r="Q39" i="1"/>
  <c r="Q38" i="1"/>
  <c r="Q32" i="1"/>
  <c r="Q31" i="1"/>
  <c r="Q30" i="1"/>
  <c r="Q29" i="1"/>
  <c r="Q28" i="1"/>
  <c r="Q27" i="1"/>
  <c r="Q26" i="1"/>
  <c r="Q25" i="1"/>
  <c r="Q24" i="1"/>
  <c r="Q23" i="1"/>
  <c r="Q22" i="1"/>
  <c r="Q21" i="1"/>
  <c r="Q15" i="1"/>
  <c r="Q14" i="1"/>
  <c r="Q13" i="1"/>
  <c r="Q12" i="1"/>
  <c r="Q11" i="1"/>
  <c r="Q10" i="1"/>
  <c r="Q9" i="1"/>
  <c r="Q8" i="1"/>
  <c r="Q7" i="1"/>
  <c r="Q6" i="1"/>
  <c r="Q5" i="1"/>
  <c r="Q4" i="1"/>
  <c r="N127" i="1" l="1"/>
  <c r="N126" i="1"/>
  <c r="N121" i="1"/>
  <c r="N120" i="1"/>
  <c r="N118" i="1"/>
  <c r="N119" i="1" s="1"/>
  <c r="N108" i="1"/>
  <c r="N107" i="1"/>
  <c r="N102" i="1"/>
  <c r="N101" i="1"/>
  <c r="N99" i="1"/>
  <c r="N100" i="1" s="1"/>
  <c r="N89" i="1"/>
  <c r="N88" i="1"/>
  <c r="N83" i="1"/>
  <c r="N81" i="1"/>
  <c r="N82" i="1" s="1"/>
  <c r="N84" i="1" s="1"/>
  <c r="N85" i="1" s="1"/>
  <c r="N86" i="1" s="1"/>
  <c r="N71" i="1"/>
  <c r="N70" i="1"/>
  <c r="N64" i="1"/>
  <c r="N62" i="1"/>
  <c r="N63" i="1" s="1"/>
  <c r="N65" i="1" s="1"/>
  <c r="N66" i="1" s="1"/>
  <c r="N67" i="1" s="1"/>
  <c r="N35" i="1"/>
  <c r="N34" i="1"/>
  <c r="N29" i="1"/>
  <c r="N27" i="1"/>
  <c r="N28" i="1" s="1"/>
  <c r="N30" i="1" s="1"/>
  <c r="N31" i="1" s="1"/>
  <c r="N32" i="1" s="1"/>
  <c r="N18" i="1"/>
  <c r="N17" i="1"/>
  <c r="N12" i="1"/>
  <c r="N10" i="1"/>
  <c r="N11" i="1" s="1"/>
  <c r="N13" i="1" s="1"/>
  <c r="N14" i="1" s="1"/>
  <c r="N15" i="1" s="1"/>
  <c r="N122" i="1" l="1"/>
  <c r="N123" i="1" s="1"/>
  <c r="N124" i="1" s="1"/>
  <c r="N103" i="1"/>
  <c r="N104" i="1" s="1"/>
  <c r="N105" i="1" s="1"/>
  <c r="M127" i="1"/>
  <c r="M126" i="1"/>
  <c r="M121" i="1"/>
  <c r="M120" i="1"/>
  <c r="M118" i="1"/>
  <c r="M119" i="1" s="1"/>
  <c r="M122" i="1" s="1"/>
  <c r="M123" i="1" s="1"/>
  <c r="M124" i="1" s="1"/>
  <c r="M108" i="1"/>
  <c r="M107" i="1"/>
  <c r="M102" i="1"/>
  <c r="M101" i="1"/>
  <c r="M99" i="1"/>
  <c r="M100" i="1" s="1"/>
  <c r="M89" i="1"/>
  <c r="M88" i="1"/>
  <c r="M83" i="1"/>
  <c r="M81" i="1"/>
  <c r="M82" i="1" s="1"/>
  <c r="M71" i="1"/>
  <c r="M70" i="1"/>
  <c r="M64" i="1"/>
  <c r="M62" i="1"/>
  <c r="M63" i="1" s="1"/>
  <c r="M52" i="1"/>
  <c r="M51" i="1"/>
  <c r="M46" i="1"/>
  <c r="M44" i="1"/>
  <c r="M45" i="1" s="1"/>
  <c r="M35" i="1"/>
  <c r="M34" i="1"/>
  <c r="M29" i="1"/>
  <c r="M27" i="1"/>
  <c r="M28" i="1" s="1"/>
  <c r="M18" i="1"/>
  <c r="M17" i="1"/>
  <c r="M12" i="1"/>
  <c r="M10" i="1"/>
  <c r="M11" i="1" s="1"/>
  <c r="M13" i="1" l="1"/>
  <c r="M14" i="1" s="1"/>
  <c r="M15" i="1" s="1"/>
  <c r="M30" i="1"/>
  <c r="M31" i="1" s="1"/>
  <c r="M32" i="1" s="1"/>
  <c r="M47" i="1"/>
  <c r="M48" i="1" s="1"/>
  <c r="M49" i="1" s="1"/>
  <c r="M65" i="1"/>
  <c r="M66" i="1" s="1"/>
  <c r="M67" i="1" s="1"/>
  <c r="M84" i="1"/>
  <c r="M85" i="1" s="1"/>
  <c r="M86" i="1" s="1"/>
  <c r="M103" i="1"/>
  <c r="M104" i="1" s="1"/>
  <c r="M105" i="1" s="1"/>
  <c r="L127" i="1"/>
  <c r="L126" i="1"/>
  <c r="L121" i="1"/>
  <c r="L120" i="1"/>
  <c r="L118" i="1"/>
  <c r="L119" i="1" s="1"/>
  <c r="L108" i="1"/>
  <c r="L107" i="1"/>
  <c r="L102" i="1"/>
  <c r="L101" i="1"/>
  <c r="L99" i="1"/>
  <c r="L100" i="1" s="1"/>
  <c r="L103" i="1" s="1"/>
  <c r="L104" i="1" s="1"/>
  <c r="L105" i="1" s="1"/>
  <c r="L89" i="1"/>
  <c r="L88" i="1"/>
  <c r="L83" i="1"/>
  <c r="L81" i="1"/>
  <c r="L82" i="1" s="1"/>
  <c r="L84" i="1" s="1"/>
  <c r="L85" i="1" s="1"/>
  <c r="L86" i="1" s="1"/>
  <c r="L71" i="1"/>
  <c r="L70" i="1"/>
  <c r="L64" i="1"/>
  <c r="L62" i="1"/>
  <c r="L63" i="1" s="1"/>
  <c r="L65" i="1" s="1"/>
  <c r="L66" i="1" s="1"/>
  <c r="L67" i="1" s="1"/>
  <c r="L52" i="1"/>
  <c r="L51" i="1"/>
  <c r="L46" i="1"/>
  <c r="L44" i="1"/>
  <c r="L45" i="1" s="1"/>
  <c r="L47" i="1" s="1"/>
  <c r="L48" i="1" s="1"/>
  <c r="L49" i="1" s="1"/>
  <c r="L35" i="1"/>
  <c r="L34" i="1"/>
  <c r="L29" i="1"/>
  <c r="L27" i="1"/>
  <c r="L28" i="1" s="1"/>
  <c r="L30" i="1" s="1"/>
  <c r="L31" i="1" s="1"/>
  <c r="L32" i="1" s="1"/>
  <c r="L18" i="1"/>
  <c r="L17" i="1"/>
  <c r="L12" i="1"/>
  <c r="L10" i="1"/>
  <c r="L11" i="1" s="1"/>
  <c r="L13" i="1" s="1"/>
  <c r="L14" i="1" s="1"/>
  <c r="L15" i="1" s="1"/>
  <c r="L122" i="1" l="1"/>
  <c r="L123" i="1" s="1"/>
  <c r="L124" i="1" s="1"/>
  <c r="K127" i="1"/>
  <c r="K126" i="1"/>
  <c r="K121" i="1"/>
  <c r="K120" i="1"/>
  <c r="K118" i="1"/>
  <c r="K119" i="1" s="1"/>
  <c r="K122" i="1" s="1"/>
  <c r="K123" i="1" s="1"/>
  <c r="K124" i="1" s="1"/>
  <c r="K108" i="1"/>
  <c r="K107" i="1"/>
  <c r="K102" i="1"/>
  <c r="K101" i="1"/>
  <c r="K99" i="1"/>
  <c r="K100" i="1" s="1"/>
  <c r="K89" i="1"/>
  <c r="K88" i="1"/>
  <c r="K83" i="1"/>
  <c r="K81" i="1"/>
  <c r="K82" i="1" s="1"/>
  <c r="K71" i="1"/>
  <c r="K70" i="1"/>
  <c r="K64" i="1"/>
  <c r="K62" i="1"/>
  <c r="K63" i="1" s="1"/>
  <c r="K52" i="1"/>
  <c r="K51" i="1"/>
  <c r="K46" i="1"/>
  <c r="K44" i="1"/>
  <c r="K45" i="1" s="1"/>
  <c r="K35" i="1"/>
  <c r="K34" i="1"/>
  <c r="K29" i="1"/>
  <c r="K27" i="1"/>
  <c r="K28" i="1" s="1"/>
  <c r="K18" i="1"/>
  <c r="K17" i="1"/>
  <c r="K12" i="1"/>
  <c r="K10" i="1"/>
  <c r="K11" i="1" s="1"/>
  <c r="K13" i="1" l="1"/>
  <c r="K14" i="1" s="1"/>
  <c r="K15" i="1" s="1"/>
  <c r="K30" i="1"/>
  <c r="K31" i="1" s="1"/>
  <c r="K32" i="1" s="1"/>
  <c r="K47" i="1"/>
  <c r="K48" i="1" s="1"/>
  <c r="K49" i="1" s="1"/>
  <c r="K65" i="1"/>
  <c r="K66" i="1" s="1"/>
  <c r="K67" i="1" s="1"/>
  <c r="K84" i="1"/>
  <c r="K85" i="1" s="1"/>
  <c r="K86" i="1" s="1"/>
  <c r="K103" i="1"/>
  <c r="K104" i="1" s="1"/>
  <c r="K105" i="1" s="1"/>
  <c r="J127" i="1"/>
  <c r="J126" i="1"/>
  <c r="J121" i="1"/>
  <c r="J120" i="1"/>
  <c r="J118" i="1"/>
  <c r="J119" i="1" s="1"/>
  <c r="J122" i="1" s="1"/>
  <c r="J117" i="1"/>
  <c r="J108" i="1"/>
  <c r="J107" i="1"/>
  <c r="J102" i="1"/>
  <c r="J101" i="1"/>
  <c r="J99" i="1"/>
  <c r="J100" i="1" s="1"/>
  <c r="J103" i="1" s="1"/>
  <c r="J104" i="1" s="1"/>
  <c r="J105" i="1" s="1"/>
  <c r="J89" i="1"/>
  <c r="J88" i="1"/>
  <c r="J83" i="1"/>
  <c r="J81" i="1"/>
  <c r="J82" i="1" s="1"/>
  <c r="J84" i="1" s="1"/>
  <c r="J80" i="1"/>
  <c r="J71" i="1"/>
  <c r="J70" i="1"/>
  <c r="J64" i="1"/>
  <c r="J62" i="1"/>
  <c r="J63" i="1" s="1"/>
  <c r="J65" i="1" s="1"/>
  <c r="J61" i="1"/>
  <c r="J43" i="1"/>
  <c r="J41" i="1"/>
  <c r="J40" i="1"/>
  <c r="J46" i="1" s="1"/>
  <c r="J39" i="1"/>
  <c r="J38" i="1"/>
  <c r="J35" i="1"/>
  <c r="J34" i="1"/>
  <c r="J29" i="1"/>
  <c r="J27" i="1"/>
  <c r="J28" i="1" s="1"/>
  <c r="J30" i="1" s="1"/>
  <c r="J26" i="1"/>
  <c r="J18" i="1"/>
  <c r="J17" i="1"/>
  <c r="J12" i="1"/>
  <c r="J10" i="1"/>
  <c r="J11" i="1" s="1"/>
  <c r="J13" i="1" s="1"/>
  <c r="J9" i="1"/>
  <c r="J14" i="1" l="1"/>
  <c r="J15" i="1" s="1"/>
  <c r="J44" i="1"/>
  <c r="J45" i="1" s="1"/>
  <c r="J47" i="1" s="1"/>
  <c r="J48" i="1" s="1"/>
  <c r="J49" i="1" s="1"/>
  <c r="J66" i="1"/>
  <c r="J67" i="1" s="1"/>
  <c r="J123" i="1"/>
  <c r="J124" i="1" s="1"/>
  <c r="J31" i="1"/>
  <c r="J32" i="1" s="1"/>
  <c r="J85" i="1"/>
  <c r="J86" i="1" s="1"/>
  <c r="J51" i="1"/>
  <c r="J52" i="1"/>
  <c r="I314" i="1" l="1"/>
  <c r="I308" i="1"/>
  <c r="I307" i="1"/>
  <c r="I304" i="1"/>
  <c r="I303" i="1"/>
  <c r="I302" i="1"/>
  <c r="I127" i="1"/>
  <c r="I126" i="1"/>
  <c r="I121" i="1"/>
  <c r="I120" i="1"/>
  <c r="I118" i="1"/>
  <c r="I119" i="1" s="1"/>
  <c r="I108" i="1"/>
  <c r="I107" i="1"/>
  <c r="I102" i="1"/>
  <c r="I101" i="1"/>
  <c r="I99" i="1"/>
  <c r="I100" i="1" s="1"/>
  <c r="I103" i="1" s="1"/>
  <c r="I104" i="1" s="1"/>
  <c r="I105" i="1" s="1"/>
  <c r="I89" i="1"/>
  <c r="I88" i="1"/>
  <c r="I83" i="1"/>
  <c r="I81" i="1"/>
  <c r="I82" i="1" s="1"/>
  <c r="I84" i="1" s="1"/>
  <c r="I85" i="1" s="1"/>
  <c r="I86" i="1" s="1"/>
  <c r="I71" i="1"/>
  <c r="I70" i="1"/>
  <c r="I64" i="1"/>
  <c r="I62" i="1"/>
  <c r="I63" i="1" s="1"/>
  <c r="I65" i="1" s="1"/>
  <c r="I66" i="1" s="1"/>
  <c r="I67" i="1" s="1"/>
  <c r="I52" i="1"/>
  <c r="I51" i="1"/>
  <c r="I46" i="1"/>
  <c r="I44" i="1"/>
  <c r="I45" i="1" s="1"/>
  <c r="I47" i="1" s="1"/>
  <c r="I48" i="1" s="1"/>
  <c r="I49" i="1" s="1"/>
  <c r="I35" i="1"/>
  <c r="I34" i="1"/>
  <c r="I29" i="1"/>
  <c r="I27" i="1"/>
  <c r="I28" i="1" s="1"/>
  <c r="I30" i="1" s="1"/>
  <c r="I31" i="1" s="1"/>
  <c r="I32" i="1" s="1"/>
  <c r="I18" i="1"/>
  <c r="I17" i="1"/>
  <c r="I12" i="1"/>
  <c r="I10" i="1"/>
  <c r="I11" i="1" s="1"/>
  <c r="I13" i="1" s="1"/>
  <c r="I14" i="1" s="1"/>
  <c r="I15" i="1" s="1"/>
  <c r="I122" i="1" l="1"/>
  <c r="I123" i="1" s="1"/>
  <c r="I124" i="1" s="1"/>
  <c r="H127" i="1"/>
  <c r="H126" i="1"/>
  <c r="H121" i="1"/>
  <c r="H120" i="1"/>
  <c r="H119" i="1"/>
  <c r="H122" i="1" s="1"/>
  <c r="H123" i="1" s="1"/>
  <c r="H124" i="1" s="1"/>
  <c r="H118" i="1"/>
  <c r="H108" i="1"/>
  <c r="H107" i="1"/>
  <c r="H102" i="1"/>
  <c r="H101" i="1"/>
  <c r="H99" i="1"/>
  <c r="H100" i="1" s="1"/>
  <c r="H89" i="1"/>
  <c r="H88" i="1"/>
  <c r="H83" i="1"/>
  <c r="H81" i="1"/>
  <c r="H82" i="1" s="1"/>
  <c r="H84" i="1" s="1"/>
  <c r="H85" i="1" s="1"/>
  <c r="H86" i="1" s="1"/>
  <c r="H71" i="1"/>
  <c r="H70" i="1"/>
  <c r="H64" i="1"/>
  <c r="H62" i="1"/>
  <c r="H63" i="1" s="1"/>
  <c r="H65" i="1" s="1"/>
  <c r="H66" i="1" s="1"/>
  <c r="H67" i="1" s="1"/>
  <c r="H35" i="1"/>
  <c r="H34" i="1"/>
  <c r="H29" i="1"/>
  <c r="H27" i="1"/>
  <c r="H28" i="1" s="1"/>
  <c r="H30" i="1" s="1"/>
  <c r="H31" i="1" s="1"/>
  <c r="H32" i="1" s="1"/>
  <c r="H18" i="1"/>
  <c r="H17" i="1"/>
  <c r="H12" i="1"/>
  <c r="H10" i="1"/>
  <c r="H11" i="1" s="1"/>
  <c r="H13" i="1" s="1"/>
  <c r="H14" i="1" s="1"/>
  <c r="H15" i="1" s="1"/>
  <c r="H103" i="1" l="1"/>
  <c r="H104" i="1" s="1"/>
  <c r="H105" i="1" s="1"/>
  <c r="G127" i="1"/>
  <c r="G126" i="1"/>
  <c r="G121" i="1"/>
  <c r="G120" i="1"/>
  <c r="G118" i="1"/>
  <c r="G119" i="1" s="1"/>
  <c r="G108" i="1"/>
  <c r="G107" i="1"/>
  <c r="G102" i="1"/>
  <c r="G101" i="1"/>
  <c r="G100" i="1"/>
  <c r="G99" i="1"/>
  <c r="G71" i="1"/>
  <c r="G70" i="1"/>
  <c r="G64" i="1"/>
  <c r="G62" i="1"/>
  <c r="G63" i="1" s="1"/>
  <c r="G103" i="1" l="1"/>
  <c r="G104" i="1" s="1"/>
  <c r="G105" i="1" s="1"/>
  <c r="G122" i="1"/>
  <c r="G123" i="1" s="1"/>
  <c r="G124" i="1" s="1"/>
  <c r="G65" i="1"/>
  <c r="G66" i="1" s="1"/>
  <c r="G67" i="1" s="1"/>
  <c r="F127" i="1"/>
  <c r="F126" i="1"/>
  <c r="F121" i="1"/>
  <c r="F120" i="1"/>
  <c r="F119" i="1"/>
  <c r="F118" i="1"/>
  <c r="F108" i="1"/>
  <c r="F107" i="1"/>
  <c r="F102" i="1"/>
  <c r="F101" i="1"/>
  <c r="F99" i="1"/>
  <c r="F100" i="1" s="1"/>
  <c r="F103" i="1" s="1"/>
  <c r="F104" i="1" s="1"/>
  <c r="F105" i="1" s="1"/>
  <c r="F89" i="1"/>
  <c r="F88" i="1"/>
  <c r="F83" i="1"/>
  <c r="F81" i="1"/>
  <c r="F82" i="1" s="1"/>
  <c r="F84" i="1" s="1"/>
  <c r="F85" i="1" s="1"/>
  <c r="F86" i="1" s="1"/>
  <c r="F71" i="1"/>
  <c r="F70" i="1"/>
  <c r="F64" i="1"/>
  <c r="F62" i="1"/>
  <c r="F63" i="1" s="1"/>
  <c r="F65" i="1" s="1"/>
  <c r="F66" i="1" s="1"/>
  <c r="F67" i="1" s="1"/>
  <c r="F35" i="1"/>
  <c r="F34" i="1"/>
  <c r="F29" i="1"/>
  <c r="F27" i="1"/>
  <c r="F28" i="1" s="1"/>
  <c r="F30" i="1" s="1"/>
  <c r="F31" i="1" s="1"/>
  <c r="F32" i="1" s="1"/>
  <c r="F18" i="1"/>
  <c r="F17" i="1"/>
  <c r="F12" i="1"/>
  <c r="F10" i="1"/>
  <c r="F11" i="1" s="1"/>
  <c r="F13" i="1" s="1"/>
  <c r="F14" i="1" s="1"/>
  <c r="F15" i="1" s="1"/>
  <c r="F122" i="1" l="1"/>
  <c r="F123" i="1" s="1"/>
  <c r="F124" i="1" s="1"/>
  <c r="E127" i="1"/>
  <c r="E126" i="1"/>
  <c r="E121" i="1"/>
  <c r="E120" i="1"/>
  <c r="E119" i="1"/>
  <c r="E122" i="1" s="1"/>
  <c r="E123" i="1" s="1"/>
  <c r="E124" i="1" s="1"/>
  <c r="E118" i="1"/>
  <c r="E108" i="1"/>
  <c r="E107" i="1"/>
  <c r="E102" i="1"/>
  <c r="E101" i="1"/>
  <c r="E100" i="1"/>
  <c r="E99" i="1"/>
  <c r="E89" i="1"/>
  <c r="E88" i="1"/>
  <c r="E83" i="1"/>
  <c r="E81" i="1"/>
  <c r="E82" i="1" s="1"/>
  <c r="E71" i="1"/>
  <c r="E70" i="1"/>
  <c r="E64" i="1"/>
  <c r="E62" i="1"/>
  <c r="E63" i="1" s="1"/>
  <c r="E65" i="1" s="1"/>
  <c r="E66" i="1" s="1"/>
  <c r="E67" i="1" s="1"/>
  <c r="E52" i="1"/>
  <c r="E51" i="1"/>
  <c r="E46" i="1"/>
  <c r="E44" i="1"/>
  <c r="E45" i="1" s="1"/>
  <c r="E47" i="1" s="1"/>
  <c r="E48" i="1" s="1"/>
  <c r="E49" i="1" s="1"/>
  <c r="E35" i="1"/>
  <c r="E34" i="1"/>
  <c r="E29" i="1"/>
  <c r="E27" i="1"/>
  <c r="E28" i="1" s="1"/>
  <c r="E30" i="1" s="1"/>
  <c r="E31" i="1" s="1"/>
  <c r="E32" i="1" s="1"/>
  <c r="E18" i="1"/>
  <c r="E17" i="1"/>
  <c r="E12" i="1"/>
  <c r="E10" i="1"/>
  <c r="E11" i="1" s="1"/>
  <c r="E13" i="1" s="1"/>
  <c r="E14" i="1" s="1"/>
  <c r="E15" i="1" s="1"/>
  <c r="E103" i="1" l="1"/>
  <c r="E104" i="1" s="1"/>
  <c r="E105" i="1" s="1"/>
  <c r="E84" i="1"/>
  <c r="E85" i="1" s="1"/>
  <c r="E86" i="1" s="1"/>
  <c r="D127" i="1" l="1"/>
  <c r="D126" i="1"/>
  <c r="D121" i="1"/>
  <c r="D120" i="1"/>
  <c r="D119" i="1"/>
  <c r="D122" i="1" s="1"/>
  <c r="D123" i="1" s="1"/>
  <c r="D124" i="1" s="1"/>
  <c r="D118" i="1"/>
  <c r="D108" i="1"/>
  <c r="D107" i="1"/>
  <c r="D102" i="1"/>
  <c r="D101" i="1"/>
  <c r="D100" i="1"/>
  <c r="D99" i="1"/>
  <c r="D89" i="1"/>
  <c r="D88" i="1"/>
  <c r="D83" i="1"/>
  <c r="D81" i="1"/>
  <c r="D82" i="1" s="1"/>
  <c r="D71" i="1"/>
  <c r="D70" i="1"/>
  <c r="D64" i="1"/>
  <c r="D62" i="1"/>
  <c r="D63" i="1" s="1"/>
  <c r="D52" i="1"/>
  <c r="D51" i="1"/>
  <c r="D46" i="1"/>
  <c r="D44" i="1"/>
  <c r="D45" i="1" s="1"/>
  <c r="D47" i="1" s="1"/>
  <c r="D48" i="1" s="1"/>
  <c r="D49" i="1" s="1"/>
  <c r="D35" i="1"/>
  <c r="D34" i="1"/>
  <c r="D29" i="1"/>
  <c r="D27" i="1"/>
  <c r="D28" i="1" s="1"/>
  <c r="D30" i="1" s="1"/>
  <c r="D31" i="1" s="1"/>
  <c r="D32" i="1" s="1"/>
  <c r="D18" i="1"/>
  <c r="D17" i="1"/>
  <c r="D12" i="1"/>
  <c r="D10" i="1"/>
  <c r="D11" i="1" s="1"/>
  <c r="D13" i="1" s="1"/>
  <c r="D14" i="1" s="1"/>
  <c r="D15" i="1" s="1"/>
  <c r="D103" i="1" l="1"/>
  <c r="D104" i="1" s="1"/>
  <c r="D105" i="1" s="1"/>
  <c r="D65" i="1"/>
  <c r="D66" i="1" s="1"/>
  <c r="D67" i="1" s="1"/>
  <c r="D84" i="1"/>
  <c r="D85" i="1" s="1"/>
  <c r="D86" i="1" s="1"/>
  <c r="C108" i="1"/>
  <c r="C107" i="1"/>
  <c r="C102" i="1"/>
  <c r="C101" i="1"/>
  <c r="C99" i="1"/>
  <c r="C100" i="1" s="1"/>
  <c r="C89" i="1"/>
  <c r="C88" i="1"/>
  <c r="C83" i="1"/>
  <c r="C81" i="1"/>
  <c r="C82" i="1" s="1"/>
  <c r="C84" i="1" s="1"/>
  <c r="C85" i="1" s="1"/>
  <c r="C86" i="1" s="1"/>
  <c r="C71" i="1"/>
  <c r="C70" i="1"/>
  <c r="C64" i="1"/>
  <c r="C62" i="1"/>
  <c r="C63" i="1" s="1"/>
  <c r="C65" i="1" s="1"/>
  <c r="C66" i="1" s="1"/>
  <c r="C67" i="1" s="1"/>
  <c r="C103" i="1" l="1"/>
  <c r="C104" i="1" s="1"/>
  <c r="C105" i="1" s="1"/>
  <c r="B127" i="1"/>
  <c r="B126" i="1"/>
  <c r="B121" i="1"/>
  <c r="B120" i="1"/>
  <c r="B119" i="1"/>
  <c r="B122" i="1" s="1"/>
  <c r="B123" i="1" s="1"/>
  <c r="B124" i="1" s="1"/>
  <c r="B118" i="1"/>
  <c r="B108" i="1"/>
  <c r="B107" i="1"/>
  <c r="B102" i="1"/>
  <c r="B101" i="1"/>
  <c r="B100" i="1"/>
  <c r="B99" i="1"/>
  <c r="B89" i="1"/>
  <c r="B88" i="1"/>
  <c r="B83" i="1"/>
  <c r="B81" i="1"/>
  <c r="B82" i="1" s="1"/>
  <c r="B71" i="1"/>
  <c r="B70" i="1"/>
  <c r="B64" i="1"/>
  <c r="B62" i="1"/>
  <c r="B63" i="1" s="1"/>
  <c r="B52" i="1"/>
  <c r="B51" i="1"/>
  <c r="B46" i="1"/>
  <c r="B44" i="1"/>
  <c r="B45" i="1" s="1"/>
  <c r="B47" i="1" s="1"/>
  <c r="B48" i="1" s="1"/>
  <c r="B49" i="1" s="1"/>
  <c r="B35" i="1"/>
  <c r="B34" i="1"/>
  <c r="B29" i="1"/>
  <c r="B27" i="1"/>
  <c r="B28" i="1" s="1"/>
  <c r="B30" i="1" s="1"/>
  <c r="B31" i="1" s="1"/>
  <c r="B32" i="1" s="1"/>
  <c r="B18" i="1"/>
  <c r="B17" i="1"/>
  <c r="B12" i="1"/>
  <c r="B10" i="1"/>
  <c r="B11" i="1" s="1"/>
  <c r="B13" i="1" s="1"/>
  <c r="B14" i="1" s="1"/>
  <c r="B15" i="1" s="1"/>
  <c r="B103" i="1" l="1"/>
  <c r="B104" i="1" s="1"/>
  <c r="B105" i="1" s="1"/>
  <c r="B65" i="1"/>
  <c r="B66" i="1" s="1"/>
  <c r="B67" i="1" s="1"/>
  <c r="B84" i="1"/>
  <c r="B85" i="1" s="1"/>
  <c r="B86" i="1" s="1"/>
  <c r="D298" i="1"/>
  <c r="D297" i="1"/>
  <c r="D291" i="1"/>
  <c r="D289" i="1"/>
  <c r="D290" i="1" s="1"/>
  <c r="D279" i="1"/>
  <c r="D278" i="1"/>
  <c r="D270" i="1"/>
  <c r="D271" i="1" s="1"/>
  <c r="D266" i="1"/>
  <c r="D272" i="1" s="1"/>
  <c r="D260" i="1"/>
  <c r="D259" i="1"/>
  <c r="D253" i="1"/>
  <c r="D251" i="1"/>
  <c r="D252" i="1" s="1"/>
  <c r="D240" i="1"/>
  <c r="D239" i="1"/>
  <c r="D232" i="1"/>
  <c r="D233" i="1" s="1"/>
  <c r="D235" i="1" s="1"/>
  <c r="D236" i="1" s="1"/>
  <c r="D237" i="1" s="1"/>
  <c r="D228" i="1"/>
  <c r="D234" i="1" s="1"/>
  <c r="D221" i="1"/>
  <c r="D220" i="1"/>
  <c r="D213" i="1"/>
  <c r="D214" i="1" s="1"/>
  <c r="D216" i="1" s="1"/>
  <c r="D217" i="1" s="1"/>
  <c r="D218" i="1" s="1"/>
  <c r="D209" i="1"/>
  <c r="D215" i="1" s="1"/>
  <c r="D203" i="1"/>
  <c r="D202" i="1"/>
  <c r="D197" i="1"/>
  <c r="D196" i="1"/>
  <c r="D194" i="1"/>
  <c r="D195" i="1" s="1"/>
  <c r="D184" i="1"/>
  <c r="D183" i="1"/>
  <c r="D178" i="1"/>
  <c r="D177" i="1"/>
  <c r="D175" i="1"/>
  <c r="D176" i="1" s="1"/>
  <c r="D165" i="1"/>
  <c r="D164" i="1"/>
  <c r="D159" i="1"/>
  <c r="D158" i="1"/>
  <c r="D156" i="1"/>
  <c r="D157" i="1" s="1"/>
  <c r="D146" i="1"/>
  <c r="D145" i="1"/>
  <c r="D140" i="1"/>
  <c r="D139" i="1"/>
  <c r="D137" i="1"/>
  <c r="D138" i="1" s="1"/>
  <c r="D198" i="1" l="1"/>
  <c r="D199" i="1" s="1"/>
  <c r="D200" i="1" s="1"/>
  <c r="D141" i="1"/>
  <c r="D142" i="1" s="1"/>
  <c r="D143" i="1" s="1"/>
  <c r="D273" i="1"/>
  <c r="D274" i="1" s="1"/>
  <c r="D275" i="1" s="1"/>
  <c r="D179" i="1"/>
  <c r="D180" i="1" s="1"/>
  <c r="D181" i="1" s="1"/>
  <c r="D160" i="1"/>
  <c r="D161" i="1" s="1"/>
  <c r="D162" i="1" s="1"/>
  <c r="D254" i="1"/>
  <c r="D255" i="1" s="1"/>
  <c r="D256" i="1" s="1"/>
  <c r="D292" i="1"/>
  <c r="D293" i="1" s="1"/>
  <c r="D294" i="1" s="1"/>
  <c r="P130" i="1" l="1"/>
  <c r="P131" i="1"/>
  <c r="P132" i="1"/>
  <c r="P133" i="1"/>
  <c r="P134" i="1"/>
  <c r="P135" i="1"/>
  <c r="P136" i="1"/>
  <c r="E137" i="1"/>
  <c r="P137" i="1" s="1"/>
  <c r="I137" i="1"/>
  <c r="E138" i="1"/>
  <c r="E141" i="1" s="1"/>
  <c r="E142" i="1" s="1"/>
  <c r="E143" i="1" s="1"/>
  <c r="E139" i="1"/>
  <c r="I139" i="1"/>
  <c r="E140" i="1"/>
  <c r="I140" i="1"/>
  <c r="E145" i="1"/>
  <c r="I145" i="1"/>
  <c r="P145" i="1" s="1"/>
  <c r="E146" i="1"/>
  <c r="I146" i="1"/>
  <c r="P149" i="1"/>
  <c r="P150" i="1"/>
  <c r="P151" i="1"/>
  <c r="P152" i="1"/>
  <c r="P153" i="1"/>
  <c r="P154" i="1"/>
  <c r="P155" i="1"/>
  <c r="E156" i="1"/>
  <c r="I156" i="1"/>
  <c r="E157" i="1"/>
  <c r="I157" i="1"/>
  <c r="E158" i="1"/>
  <c r="I158" i="1"/>
  <c r="E159" i="1"/>
  <c r="I159" i="1"/>
  <c r="E164" i="1"/>
  <c r="I164" i="1"/>
  <c r="P164" i="1"/>
  <c r="E165" i="1"/>
  <c r="P165" i="1" s="1"/>
  <c r="I165" i="1"/>
  <c r="P168" i="1"/>
  <c r="P169" i="1"/>
  <c r="P170" i="1"/>
  <c r="P171" i="1"/>
  <c r="P172" i="1"/>
  <c r="P173" i="1"/>
  <c r="P174" i="1"/>
  <c r="E175" i="1"/>
  <c r="E176" i="1" s="1"/>
  <c r="I175" i="1"/>
  <c r="I176" i="1" s="1"/>
  <c r="I179" i="1" s="1"/>
  <c r="E177" i="1"/>
  <c r="P177" i="1" s="1"/>
  <c r="I177" i="1"/>
  <c r="P178" i="1"/>
  <c r="E178" i="1"/>
  <c r="I178" i="1"/>
  <c r="E183" i="1"/>
  <c r="P183" i="1" s="1"/>
  <c r="I183" i="1"/>
  <c r="E184" i="1"/>
  <c r="I184" i="1"/>
  <c r="P184" i="1"/>
  <c r="P187" i="1"/>
  <c r="P188" i="1"/>
  <c r="P189" i="1"/>
  <c r="P190" i="1"/>
  <c r="P191" i="1"/>
  <c r="P192" i="1"/>
  <c r="P193" i="1"/>
  <c r="P194" i="1"/>
  <c r="E194" i="1"/>
  <c r="I194" i="1"/>
  <c r="I195" i="1" s="1"/>
  <c r="E195" i="1"/>
  <c r="E196" i="1"/>
  <c r="I196" i="1"/>
  <c r="E197" i="1"/>
  <c r="I197" i="1"/>
  <c r="P197" i="1" s="1"/>
  <c r="E202" i="1"/>
  <c r="I202" i="1"/>
  <c r="E203" i="1"/>
  <c r="I203" i="1"/>
  <c r="E213" i="1"/>
  <c r="E214" i="1" s="1"/>
  <c r="I213" i="1"/>
  <c r="I214" i="1" s="1"/>
  <c r="E215" i="1"/>
  <c r="I215" i="1"/>
  <c r="E216" i="1"/>
  <c r="I216" i="1"/>
  <c r="E221" i="1"/>
  <c r="I221" i="1"/>
  <c r="E222" i="1"/>
  <c r="I222" i="1"/>
  <c r="E232" i="1"/>
  <c r="E233" i="1" s="1"/>
  <c r="E235" i="1" s="1"/>
  <c r="E236" i="1" s="1"/>
  <c r="E237" i="1" s="1"/>
  <c r="I232" i="1"/>
  <c r="I233" i="1" s="1"/>
  <c r="I235" i="1" s="1"/>
  <c r="E234" i="1"/>
  <c r="I234" i="1"/>
  <c r="E240" i="1"/>
  <c r="I240" i="1"/>
  <c r="E241" i="1"/>
  <c r="I241" i="1"/>
  <c r="E251" i="1"/>
  <c r="E252" i="1" s="1"/>
  <c r="I251" i="1"/>
  <c r="I252" i="1" s="1"/>
  <c r="I254" i="1" s="1"/>
  <c r="E253" i="1"/>
  <c r="I253" i="1"/>
  <c r="E259" i="1"/>
  <c r="I259" i="1"/>
  <c r="E260" i="1"/>
  <c r="I260" i="1"/>
  <c r="E270" i="1"/>
  <c r="E271" i="1" s="1"/>
  <c r="E273" i="1" s="1"/>
  <c r="E274" i="1" s="1"/>
  <c r="E275" i="1" s="1"/>
  <c r="I270" i="1"/>
  <c r="I271" i="1"/>
  <c r="E272" i="1"/>
  <c r="I272" i="1"/>
  <c r="E278" i="1"/>
  <c r="I278" i="1"/>
  <c r="E279" i="1"/>
  <c r="I279" i="1"/>
  <c r="E289" i="1"/>
  <c r="E290" i="1" s="1"/>
  <c r="I289" i="1"/>
  <c r="I290" i="1" s="1"/>
  <c r="E291" i="1"/>
  <c r="I291" i="1"/>
  <c r="E297" i="1"/>
  <c r="I297" i="1"/>
  <c r="E298" i="1"/>
  <c r="I298" i="1"/>
  <c r="I292" i="1" l="1"/>
  <c r="I293" i="1" s="1"/>
  <c r="I294" i="1" s="1"/>
  <c r="I273" i="1"/>
  <c r="I274" i="1" s="1"/>
  <c r="I275" i="1" s="1"/>
  <c r="I198" i="1"/>
  <c r="E292" i="1"/>
  <c r="E293" i="1" s="1"/>
  <c r="E294" i="1" s="1"/>
  <c r="E217" i="1"/>
  <c r="E218" i="1" s="1"/>
  <c r="E219" i="1" s="1"/>
  <c r="P202" i="1"/>
  <c r="I160" i="1"/>
  <c r="P146" i="1"/>
  <c r="P139" i="1"/>
  <c r="E254" i="1"/>
  <c r="P203" i="1"/>
  <c r="P195" i="1"/>
  <c r="I311" i="1"/>
  <c r="P140" i="1"/>
  <c r="I138" i="1"/>
  <c r="I305" i="1"/>
  <c r="P176" i="1"/>
  <c r="E179" i="1"/>
  <c r="E180" i="1" s="1"/>
  <c r="E181" i="1" s="1"/>
  <c r="E198" i="1"/>
  <c r="E199" i="1" s="1"/>
  <c r="E200" i="1" s="1"/>
  <c r="P175" i="1"/>
  <c r="P157" i="1"/>
  <c r="P159" i="1"/>
  <c r="I217" i="1"/>
  <c r="P158" i="1"/>
  <c r="P156" i="1"/>
  <c r="P198" i="1"/>
  <c r="P180" i="1"/>
  <c r="P196" i="1"/>
  <c r="P179" i="1"/>
  <c r="P138" i="1"/>
  <c r="E160" i="1"/>
  <c r="I141" i="1" l="1"/>
  <c r="I310" i="1"/>
  <c r="P160" i="1"/>
  <c r="E161" i="1"/>
  <c r="P199" i="1"/>
  <c r="P200" i="1"/>
  <c r="I142" i="1" l="1"/>
  <c r="I300" i="1"/>
  <c r="P141" i="1"/>
  <c r="P161" i="1"/>
  <c r="E162" i="1"/>
  <c r="P162" i="1" s="1"/>
  <c r="I143" i="1" l="1"/>
  <c r="P143" i="1" s="1"/>
  <c r="P142" i="1"/>
  <c r="P117" i="1"/>
  <c r="P116" i="1"/>
  <c r="P115" i="1"/>
  <c r="P114" i="1"/>
  <c r="P113" i="1"/>
  <c r="P112" i="1"/>
  <c r="P111" i="1"/>
  <c r="P98" i="1"/>
  <c r="P97" i="1"/>
  <c r="P96" i="1"/>
  <c r="P95" i="1"/>
  <c r="P94" i="1"/>
  <c r="P93" i="1"/>
  <c r="P92" i="1"/>
  <c r="P80" i="1"/>
  <c r="P79" i="1"/>
  <c r="P78" i="1"/>
  <c r="P77" i="1"/>
  <c r="P76" i="1"/>
  <c r="P75" i="1"/>
  <c r="P74" i="1"/>
  <c r="P61" i="1"/>
  <c r="P60" i="1"/>
  <c r="P59" i="1"/>
  <c r="P58" i="1"/>
  <c r="P57" i="1"/>
  <c r="P56" i="1"/>
  <c r="P55" i="1"/>
  <c r="P43" i="1"/>
  <c r="P42" i="1"/>
  <c r="P41" i="1"/>
  <c r="P40" i="1"/>
  <c r="P39" i="1"/>
  <c r="P38" i="1"/>
  <c r="P26" i="1"/>
  <c r="P25" i="1"/>
  <c r="P24" i="1"/>
  <c r="P23" i="1"/>
  <c r="P22" i="1"/>
  <c r="P21" i="1"/>
  <c r="P9" i="1"/>
  <c r="P8" i="1"/>
  <c r="P7" i="1"/>
  <c r="P6" i="1"/>
  <c r="P5" i="1"/>
  <c r="P4" i="1"/>
  <c r="P308" i="1"/>
  <c r="P307" i="1" l="1"/>
  <c r="P304" i="1"/>
  <c r="P303" i="1"/>
  <c r="P302" i="1"/>
  <c r="P127" i="1"/>
  <c r="P126" i="1"/>
  <c r="P121" i="1"/>
  <c r="P120" i="1"/>
  <c r="P108" i="1"/>
  <c r="P107" i="1"/>
  <c r="P102" i="1"/>
  <c r="P101" i="1"/>
  <c r="P89" i="1"/>
  <c r="P88" i="1"/>
  <c r="P83" i="1"/>
  <c r="P71" i="1"/>
  <c r="P70" i="1"/>
  <c r="P64" i="1"/>
  <c r="P62" i="1"/>
  <c r="P52" i="1"/>
  <c r="P51" i="1"/>
  <c r="P46" i="1"/>
  <c r="P35" i="1"/>
  <c r="P34" i="1"/>
  <c r="P29" i="1"/>
  <c r="P18" i="1"/>
  <c r="P17" i="1"/>
  <c r="P12" i="1"/>
  <c r="P10" i="1" l="1"/>
  <c r="P27" i="1"/>
  <c r="P45" i="1"/>
  <c r="P44" i="1"/>
  <c r="P63" i="1"/>
  <c r="P81" i="1"/>
  <c r="P99" i="1"/>
  <c r="P118" i="1"/>
  <c r="P311" i="1"/>
  <c r="P305" i="1"/>
  <c r="P47" i="1" l="1"/>
  <c r="P119" i="1"/>
  <c r="P100" i="1"/>
  <c r="P65" i="1"/>
  <c r="P11" i="1"/>
  <c r="P82" i="1"/>
  <c r="P28" i="1"/>
  <c r="P310" i="1"/>
  <c r="P67" i="1" l="1"/>
  <c r="P66" i="1"/>
  <c r="P30" i="1"/>
  <c r="P84" i="1"/>
  <c r="P13" i="1"/>
  <c r="P300" i="1"/>
  <c r="P103" i="1"/>
  <c r="P49" i="1"/>
  <c r="P48" i="1"/>
  <c r="P122" i="1"/>
  <c r="P105" i="1" l="1"/>
  <c r="P104" i="1"/>
  <c r="P86" i="1"/>
  <c r="P85" i="1"/>
  <c r="P124" i="1"/>
  <c r="P123" i="1"/>
  <c r="P15" i="1"/>
  <c r="P14" i="1"/>
  <c r="P32" i="1"/>
  <c r="P31" i="1"/>
</calcChain>
</file>

<file path=xl/sharedStrings.xml><?xml version="1.0" encoding="utf-8"?>
<sst xmlns="http://schemas.openxmlformats.org/spreadsheetml/2006/main" count="582" uniqueCount="163">
  <si>
    <t>Minnesota Family Investment Program (MFIP)</t>
  </si>
  <si>
    <t>A. Unduplicated Count of MFIP</t>
  </si>
  <si>
    <t xml:space="preserve">B. Total number of MFIP termed </t>
  </si>
  <si>
    <t>C. Total number of MFIP terminees that were placed in jobs</t>
  </si>
  <si>
    <t>D. Average wage at placement for MFIP placements</t>
  </si>
  <si>
    <t>E. Average number of hours per week for MFIP placements</t>
  </si>
  <si>
    <t>F.  Total MFIP expenses for the program year</t>
  </si>
  <si>
    <t>G. Total Annual Wages Earned by MFIP Participants</t>
  </si>
  <si>
    <t>I. Total Annual Welfare Savings on Placements</t>
  </si>
  <si>
    <t>J. Total MFIP Annual Return to Government</t>
  </si>
  <si>
    <t>K. MFIP Annual Return on Investment</t>
  </si>
  <si>
    <t>Return Per $1 Invested</t>
  </si>
  <si>
    <t>Average annual salary</t>
  </si>
  <si>
    <t>Average annual salary - standard deduction and 3 exemptions**</t>
  </si>
  <si>
    <t>Diversionary Work Program (DWP)</t>
  </si>
  <si>
    <t>A. Unduplicated Count of DWP</t>
  </si>
  <si>
    <t xml:space="preserve">B. Total number of DWP termed </t>
  </si>
  <si>
    <t>C. Total number of DWP terminees that were placed in jobs</t>
  </si>
  <si>
    <t>D. Average wage at placement for DWP placements</t>
  </si>
  <si>
    <t>E. Average number of hours per week for DWP placements</t>
  </si>
  <si>
    <t>F.  Total DWP expenses for the program year</t>
  </si>
  <si>
    <t>G. Total Annual Wages Earned by DWP Participants</t>
  </si>
  <si>
    <t>J. Total DWP Annual Return to Government</t>
  </si>
  <si>
    <t>K. DWP Annual Return on Investment</t>
  </si>
  <si>
    <t>SNAP-ET</t>
  </si>
  <si>
    <t>A. Unduplicated Count of SNAP-ET served during entire program year</t>
  </si>
  <si>
    <t>B. Total number of SNAP-ET termed</t>
  </si>
  <si>
    <t>C. Total number of SNAP-ET terminees that were placed in jobs</t>
  </si>
  <si>
    <t>D. Average wage at placement forSNAP-ET placements</t>
  </si>
  <si>
    <t>E. Average number of hours per week for SNAP-ET placements</t>
  </si>
  <si>
    <t>F. Total SNAP-ET expenses for the program year</t>
  </si>
  <si>
    <t>G. Total Annual Wages earned by SNAP-ET participants</t>
  </si>
  <si>
    <t>J. Total SNAP-ET Annual Return to Government</t>
  </si>
  <si>
    <t>K. SNAP-ET Annual Return on Investment</t>
  </si>
  <si>
    <t>WIOA Title I Adult Program</t>
  </si>
  <si>
    <t>A. Unduplicated Count of Adult WIOA Title I participants served during entire program year</t>
  </si>
  <si>
    <t>B. Total number of adult WIOA Title I termed</t>
  </si>
  <si>
    <t>C. Total number of adult WIOA Title I terminees that were placed in jobs</t>
  </si>
  <si>
    <t>D. % of adult Title I placements that were receiving MFIP at time of enrollment</t>
  </si>
  <si>
    <t>E. Average wage at placement for all adult WIOA Title I placements</t>
  </si>
  <si>
    <t>F. Average number of hours per week for adult WIOA Title I placements</t>
  </si>
  <si>
    <t>G. Total adult WIOA Title I expenses for the program year</t>
  </si>
  <si>
    <t>H. Total Annual Wages Earned by Adult WIOA Title I Participants</t>
  </si>
  <si>
    <t>I. Total Government Taxes Paid by Participants (all .276, adjust if green highlighted cell below is positive)</t>
  </si>
  <si>
    <t>J. Total Annual Welfare Savings on Placements</t>
  </si>
  <si>
    <t>K. Total Adult WIOA Title I Annual Return to Government</t>
  </si>
  <si>
    <t>L. Adult WIOA Title I Annual Return on Investment</t>
  </si>
  <si>
    <t>Return Per $1 Spent</t>
  </si>
  <si>
    <t>WIOA Out-of-School Youth</t>
  </si>
  <si>
    <t>A. Unduplicated Count of WIOA Out-of-School Youth participants served during entire program year</t>
  </si>
  <si>
    <t>B. Total number of WIOA Out-of-School Youth termed</t>
  </si>
  <si>
    <t>C. Total number of WIOA Out-of-School terminees that were placed in jobs</t>
  </si>
  <si>
    <t>D. % of WIOA Out-of-School Youth placements that were receiving MFIP at time of enrollment</t>
  </si>
  <si>
    <t>E. Average wage at placement for all WIOA Out-of-School Youth placements</t>
  </si>
  <si>
    <t>F. Average number of hours per week for WIOA Out-of-School Youth placements</t>
  </si>
  <si>
    <t>G. Total WIOA Out-of-School Youth expenses for the program year</t>
  </si>
  <si>
    <t>H. Total Annual Wages Earned by WIOA Out-of-School Youth Participants</t>
  </si>
  <si>
    <t>L. Total WIOA Out-of-School Youth Annual Return to Government</t>
  </si>
  <si>
    <t>M. WIOA Out-of-School Youth Annual Return on Investment</t>
  </si>
  <si>
    <t>Dislocated Worker Allocations (Federal)</t>
  </si>
  <si>
    <t>A. Unduplicated Count of Fed Disl Wkr participants served during entire program year</t>
  </si>
  <si>
    <t>B. Total number of Fed Disl Wkr termed</t>
  </si>
  <si>
    <t>C. Total number of Fed Disl Wkr terminees that were placed in jobs</t>
  </si>
  <si>
    <t>D. % of Fed Disl Wkr placements that were receiving MFIP at time of enrollment</t>
  </si>
  <si>
    <t>E. Average wage at placement for all Fed Disl Wkr placements</t>
  </si>
  <si>
    <t>F. Average number of hours per week for Fed Disl Wkr placements</t>
  </si>
  <si>
    <t>G. Total Fed Disl Wkr expenses for the program year</t>
  </si>
  <si>
    <t>H. Total Annual Wages Earned by Fed Disl Wkr Participants</t>
  </si>
  <si>
    <t>K. Total Unemployment Insurance Savings on Placements</t>
  </si>
  <si>
    <t xml:space="preserve"> $-   </t>
  </si>
  <si>
    <t>L. Total Fed Disl Wkr Annual Return to Government</t>
  </si>
  <si>
    <t>M. Fed Disl Wkr Annual Return on Investment</t>
  </si>
  <si>
    <t>Dislocated Worker Allocations (State)</t>
  </si>
  <si>
    <t>A. Unduplicated Count of State Disl Wkr participants served during entire program year</t>
  </si>
  <si>
    <t>B. Total number of  State Disl Wkr termed</t>
  </si>
  <si>
    <t>C. Total number of  State Disl Wkr terminees that were placed in jobs</t>
  </si>
  <si>
    <t>D. % of  State Disl Wkr placements that were receiving MFIP at time of enrollment</t>
  </si>
  <si>
    <t>E. Average wage at placement for all  State Disl Wkr placements</t>
  </si>
  <si>
    <t>F. Average number of hours per week for State Disl Wkr placements</t>
  </si>
  <si>
    <t>G. Total  State Disl Wkr expenses for the program year</t>
  </si>
  <si>
    <t>H. Total Annual Wages Earned by  State Disl Wkr Participants</t>
  </si>
  <si>
    <t>L. Total  State Disl Wkr Annual Return to Government</t>
  </si>
  <si>
    <t>M. State Disl Wkr Annual Return on Investment</t>
  </si>
  <si>
    <t>Dislocated Worker Site Specific Grants -  NEG OJT</t>
  </si>
  <si>
    <t>Proj Total thru 6/30/17</t>
  </si>
  <si>
    <t>A. Unduplicated Count of Disl Workers served during entire project</t>
  </si>
  <si>
    <t>B. Total number of Disl Workers termined</t>
  </si>
  <si>
    <t>C. Total number of Disl Worker terminees that were placed in jobs</t>
  </si>
  <si>
    <t>D. % of  Disl Wkr placements that were receiving MFIP at time of enrollment</t>
  </si>
  <si>
    <t>E. Average wage at placement for Disl Worker placements</t>
  </si>
  <si>
    <t>F. Average number of hours per week for Disl Worker placements</t>
  </si>
  <si>
    <t>G. Total Disl Worker expenses for project</t>
  </si>
  <si>
    <t>H. Total Annual Wages Earned by Disl Worker Grant Participants</t>
  </si>
  <si>
    <t>K.  Total Unemployment Insurance Savings on Placements</t>
  </si>
  <si>
    <t>L. Total Dislocated Workers Site Specific Grants Annual Return to Government</t>
  </si>
  <si>
    <t>M. Dislocated Worker Site Specific Annual Return on Investment</t>
  </si>
  <si>
    <t xml:space="preserve">Dislocated Worker Site Specific Grants - </t>
  </si>
  <si>
    <t>Dislocated Worker Site Specific Grants -</t>
  </si>
  <si>
    <t>Other Project -</t>
  </si>
  <si>
    <t>A. Unduplicated Count of participants served during entire program year</t>
  </si>
  <si>
    <t>B. Total number termed</t>
  </si>
  <si>
    <t>C. Total number of terminees that were placed in jobs</t>
  </si>
  <si>
    <t>D. % of placements that were receiving MFIP at time of enrollment</t>
  </si>
  <si>
    <t>E. Average wage at placement for all placements</t>
  </si>
  <si>
    <t>F. Average number of hours per week for placements</t>
  </si>
  <si>
    <t>G. Total expenses for project</t>
  </si>
  <si>
    <t>H. Total Annual Wages Earned by Participants</t>
  </si>
  <si>
    <t>K. Total Annual Return to Government</t>
  </si>
  <si>
    <t>L. Annual Return on Investment</t>
  </si>
  <si>
    <t>Overall Return on Investment for all programs</t>
  </si>
  <si>
    <t>Total Served</t>
  </si>
  <si>
    <t>Total Termed</t>
  </si>
  <si>
    <t>Total Placed in Jobs</t>
  </si>
  <si>
    <t>Total Annual Wages Earned</t>
  </si>
  <si>
    <t>Welfare to Work</t>
  </si>
  <si>
    <t>Unemployed/ Dislocated Wkr</t>
  </si>
  <si>
    <t>Taxes paid on earnings</t>
  </si>
  <si>
    <t>Welfare savings</t>
  </si>
  <si>
    <t>Unemployment insurance savings</t>
  </si>
  <si>
    <t>Total Expenditures</t>
  </si>
  <si>
    <t>Government taxes paid by participants were calculated by:</t>
  </si>
  <si>
    <t>*Payroll taxes - 15.3%</t>
  </si>
  <si>
    <t>*Federal taxes paid were calculated based on:</t>
  </si>
  <si>
    <t xml:space="preserve">**If this figure is positive, use the amount of taxes owed according to the table, </t>
  </si>
  <si>
    <t>https://www.irs.gov/pub/irs-pdf/i1040tt.pdf</t>
  </si>
  <si>
    <t>All special projects include data from the project start date through 6/30/2017</t>
  </si>
  <si>
    <t>saved for the difference between the maximum length of UI receipt (26 weeks) and the average # of weeks participation</t>
  </si>
  <si>
    <t>Assumption: Dislocated workers were enrolled as soon as they started receiving UI</t>
  </si>
  <si>
    <t>The formula assumes avg length of participation was at least 26 weeks. If it is less, need to adjust the formula.</t>
  </si>
  <si>
    <t>TOTAL</t>
  </si>
  <si>
    <t>AVERAGE</t>
  </si>
  <si>
    <t>2016-2017</t>
  </si>
  <si>
    <t>7/1/16-6/30/17</t>
  </si>
  <si>
    <t>Program - 2018-19</t>
  </si>
  <si>
    <t>Anoka</t>
  </si>
  <si>
    <t>Career Solutions</t>
  </si>
  <si>
    <t>CMJTS</t>
  </si>
  <si>
    <t>Dakota County</t>
  </si>
  <si>
    <t>Duluth</t>
  </si>
  <si>
    <t>HennepinCarver</t>
  </si>
  <si>
    <t>NEMOJT</t>
  </si>
  <si>
    <t>Ramsey</t>
  </si>
  <si>
    <t>RuralMN CEP</t>
  </si>
  <si>
    <t>SoCentral</t>
  </si>
  <si>
    <t>WashingtonCo</t>
  </si>
  <si>
    <t xml:space="preserve">WDI     </t>
  </si>
  <si>
    <t>Winona</t>
  </si>
  <si>
    <t>Average annual salary - standard deduction for head of household**</t>
  </si>
  <si>
    <t>Average annual gross wages minus $18,350 (standard deduction for head of household 2019 Tax Table</t>
  </si>
  <si>
    <t xml:space="preserve">For total Government taxes, use .275 (payroll and MN) plus refer to the Federal tax table (link below) to get the effective Federal tax. </t>
  </si>
  <si>
    <t>divided by the total average annual salary, to get the percentage to add to .275</t>
  </si>
  <si>
    <t>2018-19 Unemployment insurance savings calculated by assuming a savings of 1/2 of the maximum weekly benefit ($370)</t>
  </si>
  <si>
    <t>*MN effective tax rates (state and local) of 12.3% (households earning between $11,263 and $59,617), according to the most recent MN Tax Incidence Study (2019)</t>
  </si>
  <si>
    <t>I. Total Government Taxes Paid by Participants (all .275, adjust if green highlighted cell below is positive)</t>
  </si>
  <si>
    <t>H. Total Government Taxes Paid by Participants (all .275, adjust if green highlighted cell below is positive)</t>
  </si>
  <si>
    <t>Supplemental Nutrition Assistance Program (SNAP-ET)</t>
  </si>
  <si>
    <t>WIOA Title I Adult</t>
  </si>
  <si>
    <t>Federal Dislocated Worker Program</t>
  </si>
  <si>
    <t>State Dislocated Worker Program</t>
  </si>
  <si>
    <t>Customers Served</t>
  </si>
  <si>
    <t>Obtained Employment</t>
  </si>
  <si>
    <t>Customers Termed</t>
  </si>
  <si>
    <r>
      <rPr>
        <b/>
        <i/>
        <sz val="11"/>
        <color theme="1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 xml:space="preserve"> these figures include special projects which are not included ine ROI summary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</si>
</sst>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_([$$-409]* #,##0.00_);_([$$-409]* \(#,##0.00\);_([$$-409]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2">
    <xf numFmtId="0" fontId="0" fillId="0" borderId="0" xfId="0"/>
    <xf numFmtId="164" fontId="5" fillId="0" borderId="0" xfId="3" applyNumberFormat="1" applyFont="1" applyFill="1" applyBorder="1" applyProtection="1">
      <protection locked="0"/>
    </xf>
    <xf numFmtId="44" fontId="5" fillId="0" borderId="0" xfId="3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3" applyNumberFormat="1" applyFont="1" applyFill="1" applyBorder="1" applyProtection="1">
      <protection locked="0"/>
    </xf>
    <xf numFmtId="0" fontId="5" fillId="0" borderId="0" xfId="0" applyFont="1" applyFill="1"/>
    <xf numFmtId="0" fontId="6" fillId="0" borderId="0" xfId="0" applyFont="1" applyFill="1"/>
    <xf numFmtId="164" fontId="5" fillId="0" borderId="0" xfId="3" applyNumberFormat="1" applyFont="1" applyFill="1" applyBorder="1"/>
    <xf numFmtId="0" fontId="5" fillId="0" borderId="0" xfId="4" applyNumberFormat="1" applyFont="1" applyFill="1" applyBorder="1"/>
    <xf numFmtId="0" fontId="5" fillId="0" borderId="0" xfId="0" applyFont="1" applyFill="1" applyBorder="1"/>
    <xf numFmtId="164" fontId="5" fillId="0" borderId="0" xfId="0" applyNumberFormat="1" applyFont="1" applyFill="1" applyBorder="1" applyProtection="1">
      <protection locked="0"/>
    </xf>
    <xf numFmtId="0" fontId="6" fillId="0" borderId="0" xfId="0" applyFont="1" applyFill="1" applyBorder="1"/>
    <xf numFmtId="166" fontId="2" fillId="0" borderId="0" xfId="0" applyNumberFormat="1" applyFont="1"/>
    <xf numFmtId="44" fontId="2" fillId="0" borderId="0" xfId="1" applyFont="1"/>
    <xf numFmtId="0" fontId="5" fillId="0" borderId="0" xfId="2" applyFont="1" applyFill="1" applyBorder="1"/>
    <xf numFmtId="0" fontId="5" fillId="0" borderId="0" xfId="2" applyFont="1" applyFill="1" applyBorder="1" applyProtection="1">
      <protection locked="0"/>
    </xf>
    <xf numFmtId="8" fontId="5" fillId="0" borderId="0" xfId="0" applyNumberFormat="1" applyFont="1" applyFill="1" applyBorder="1"/>
    <xf numFmtId="8" fontId="5" fillId="0" borderId="0" xfId="2" applyNumberFormat="1" applyFont="1" applyFill="1" applyBorder="1" applyProtection="1">
      <protection locked="0"/>
    </xf>
    <xf numFmtId="3" fontId="5" fillId="0" borderId="0" xfId="0" applyNumberFormat="1" applyFont="1" applyFill="1" applyBorder="1"/>
    <xf numFmtId="38" fontId="5" fillId="0" borderId="0" xfId="2" applyNumberFormat="1" applyFont="1" applyFill="1" applyBorder="1" applyProtection="1">
      <protection locked="0"/>
    </xf>
    <xf numFmtId="6" fontId="5" fillId="0" borderId="0" xfId="0" applyNumberFormat="1" applyFont="1" applyFill="1" applyBorder="1"/>
    <xf numFmtId="44" fontId="5" fillId="0" borderId="0" xfId="3" applyFont="1" applyFill="1" applyBorder="1"/>
    <xf numFmtId="44" fontId="6" fillId="0" borderId="0" xfId="1" applyFont="1" applyFill="1"/>
    <xf numFmtId="0" fontId="0" fillId="0" borderId="0" xfId="0" applyFont="1"/>
    <xf numFmtId="9" fontId="5" fillId="0" borderId="0" xfId="0" applyNumberFormat="1" applyFont="1" applyFill="1" applyBorder="1"/>
    <xf numFmtId="9" fontId="5" fillId="0" borderId="0" xfId="2" applyNumberFormat="1" applyFont="1" applyFill="1" applyBorder="1" applyProtection="1">
      <protection locked="0"/>
    </xf>
    <xf numFmtId="9" fontId="5" fillId="0" borderId="0" xfId="0" applyNumberFormat="1" applyFont="1" applyFill="1" applyBorder="1" applyProtection="1">
      <protection locked="0"/>
    </xf>
    <xf numFmtId="164" fontId="5" fillId="0" borderId="0" xfId="2" applyNumberFormat="1" applyFont="1" applyFill="1" applyBorder="1" applyProtection="1">
      <protection locked="0"/>
    </xf>
    <xf numFmtId="165" fontId="5" fillId="0" borderId="0" xfId="2" applyNumberFormat="1" applyFont="1" applyFill="1" applyBorder="1"/>
    <xf numFmtId="164" fontId="5" fillId="0" borderId="0" xfId="2" applyNumberFormat="1" applyFont="1" applyFill="1" applyBorder="1"/>
    <xf numFmtId="38" fontId="5" fillId="0" borderId="0" xfId="2" applyNumberFormat="1" applyFont="1" applyFill="1" applyBorder="1"/>
    <xf numFmtId="0" fontId="5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/>
    <xf numFmtId="8" fontId="5" fillId="0" borderId="0" xfId="3" applyNumberFormat="1" applyFont="1" applyFill="1" applyBorder="1"/>
    <xf numFmtId="8" fontId="5" fillId="0" borderId="0" xfId="3" applyNumberFormat="1" applyFont="1" applyFill="1" applyBorder="1" applyProtection="1">
      <protection locked="0"/>
    </xf>
    <xf numFmtId="44" fontId="7" fillId="0" borderId="1" xfId="3" applyFont="1" applyBorder="1"/>
    <xf numFmtId="0" fontId="0" fillId="0" borderId="0" xfId="0" applyProtection="1">
      <protection locked="0"/>
    </xf>
    <xf numFmtId="8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38" fontId="0" fillId="0" borderId="0" xfId="0" applyNumberFormat="1" applyProtection="1">
      <protection locked="0"/>
    </xf>
    <xf numFmtId="164" fontId="0" fillId="0" borderId="0" xfId="3" applyNumberFormat="1" applyFont="1" applyBorder="1"/>
    <xf numFmtId="164" fontId="0" fillId="5" borderId="0" xfId="3" applyNumberFormat="1" applyFont="1" applyFill="1" applyBorder="1" applyProtection="1">
      <protection locked="0"/>
    </xf>
    <xf numFmtId="0" fontId="0" fillId="0" borderId="0" xfId="4" applyNumberFormat="1" applyFont="1" applyBorder="1"/>
    <xf numFmtId="44" fontId="7" fillId="0" borderId="0" xfId="3" applyFont="1" applyBorder="1"/>
    <xf numFmtId="0" fontId="0" fillId="5" borderId="0" xfId="0" applyFill="1"/>
    <xf numFmtId="0" fontId="4" fillId="0" borderId="0" xfId="0" applyFont="1" applyFill="1" applyBorder="1"/>
    <xf numFmtId="0" fontId="8" fillId="0" borderId="0" xfId="5" applyFill="1" applyBorder="1"/>
    <xf numFmtId="0" fontId="0" fillId="0" borderId="0" xfId="0" applyBorder="1"/>
    <xf numFmtId="9" fontId="4" fillId="0" borderId="0" xfId="0" applyNumberFormat="1" applyFont="1" applyProtection="1">
      <protection locked="0"/>
    </xf>
    <xf numFmtId="8" fontId="0" fillId="0" borderId="0" xfId="0" applyNumberFormat="1" applyProtection="1">
      <protection locked="0"/>
    </xf>
    <xf numFmtId="164" fontId="0" fillId="3" borderId="0" xfId="0" applyNumberFormat="1" applyFill="1" applyProtection="1">
      <protection locked="0"/>
    </xf>
    <xf numFmtId="0" fontId="0" fillId="2" borderId="0" xfId="0" applyFill="1" applyBorder="1"/>
    <xf numFmtId="164" fontId="0" fillId="0" borderId="0" xfId="3" applyNumberFormat="1" applyFont="1" applyFill="1" applyBorder="1" applyProtection="1">
      <protection locked="0"/>
    </xf>
    <xf numFmtId="164" fontId="0" fillId="4" borderId="0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9" fontId="4" fillId="0" borderId="0" xfId="0" applyNumberFormat="1" applyFont="1" applyBorder="1" applyProtection="1">
      <protection locked="0"/>
    </xf>
    <xf numFmtId="44" fontId="0" fillId="0" borderId="0" xfId="3" applyFont="1" applyFill="1" applyBorder="1" applyProtection="1">
      <protection locked="0"/>
    </xf>
    <xf numFmtId="165" fontId="7" fillId="0" borderId="0" xfId="0" applyNumberFormat="1" applyFont="1"/>
    <xf numFmtId="8" fontId="9" fillId="0" borderId="0" xfId="0" applyNumberFormat="1" applyFont="1"/>
    <xf numFmtId="0" fontId="10" fillId="0" borderId="0" xfId="0" applyFont="1" applyAlignment="1">
      <alignment horizontal="right" vertical="center"/>
    </xf>
    <xf numFmtId="6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right" vertical="center"/>
    </xf>
    <xf numFmtId="164" fontId="0" fillId="0" borderId="0" xfId="0" applyNumberFormat="1"/>
    <xf numFmtId="38" fontId="0" fillId="0" borderId="0" xfId="0" applyNumberFormat="1"/>
    <xf numFmtId="8" fontId="9" fillId="0" borderId="0" xfId="0" applyNumberFormat="1" applyFont="1" applyAlignment="1">
      <alignment horizontal="right" vertical="center"/>
    </xf>
    <xf numFmtId="44" fontId="0" fillId="0" borderId="0" xfId="3" applyFont="1" applyProtection="1">
      <protection locked="0"/>
    </xf>
    <xf numFmtId="2" fontId="5" fillId="0" borderId="0" xfId="0" applyNumberFormat="1" applyFont="1" applyFill="1"/>
    <xf numFmtId="2" fontId="0" fillId="0" borderId="0" xfId="0" applyNumberFormat="1" applyFont="1"/>
    <xf numFmtId="0" fontId="0" fillId="0" borderId="2" xfId="0" applyBorder="1"/>
    <xf numFmtId="0" fontId="0" fillId="0" borderId="2" xfId="0" applyBorder="1" applyAlignment="1">
      <alignment wrapText="1"/>
    </xf>
    <xf numFmtId="165" fontId="0" fillId="0" borderId="2" xfId="0" applyNumberFormat="1" applyBorder="1"/>
    <xf numFmtId="0" fontId="0" fillId="0" borderId="2" xfId="0" applyBorder="1" applyAlignment="1">
      <alignment vertical="top" wrapText="1"/>
    </xf>
    <xf numFmtId="165" fontId="0" fillId="0" borderId="4" xfId="0" applyNumberFormat="1" applyBorder="1"/>
    <xf numFmtId="0" fontId="0" fillId="0" borderId="4" xfId="0" applyBorder="1"/>
    <xf numFmtId="0" fontId="0" fillId="0" borderId="3" xfId="0" applyBorder="1" applyAlignment="1">
      <alignment wrapText="1"/>
    </xf>
    <xf numFmtId="165" fontId="0" fillId="0" borderId="3" xfId="0" applyNumberFormat="1" applyBorder="1"/>
    <xf numFmtId="0" fontId="0" fillId="0" borderId="3" xfId="0" applyBorder="1"/>
    <xf numFmtId="0" fontId="2" fillId="0" borderId="2" xfId="0" applyFont="1" applyBorder="1" applyAlignment="1">
      <alignment wrapText="1"/>
    </xf>
    <xf numFmtId="0" fontId="0" fillId="0" borderId="4" xfId="0" applyBorder="1" applyAlignment="1">
      <alignment vertical="top" wrapText="1"/>
    </xf>
    <xf numFmtId="0" fontId="12" fillId="0" borderId="3" xfId="0" applyFont="1" applyBorder="1" applyAlignment="1">
      <alignment wrapText="1"/>
    </xf>
    <xf numFmtId="0" fontId="13" fillId="0" borderId="4" xfId="0" applyFont="1" applyBorder="1" applyAlignment="1">
      <alignment wrapText="1"/>
    </xf>
    <xf numFmtId="165" fontId="13" fillId="0" borderId="4" xfId="0" applyNumberFormat="1" applyFont="1" applyBorder="1"/>
  </cellXfs>
  <cellStyles count="6">
    <cellStyle name="Currency" xfId="1" builtinId="4"/>
    <cellStyle name="Currency 2" xfId="3"/>
    <cellStyle name="Hyperlink" xfId="5" builtinId="8"/>
    <cellStyle name="Normal" xfId="0" builtinId="0"/>
    <cellStyle name="Normal 2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rs.gov/pub/irs-pdf/i1040t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5"/>
  <sheetViews>
    <sheetView zoomScaleNormal="100" workbookViewId="0">
      <pane xSplit="1" topLeftCell="I1" activePane="topRight" state="frozen"/>
      <selection pane="topRight" activeCell="R124" sqref="R124"/>
    </sheetView>
  </sheetViews>
  <sheetFormatPr defaultRowHeight="14.4" x14ac:dyDescent="0.3"/>
  <cols>
    <col min="1" max="1" width="52.44140625" style="9" customWidth="1"/>
    <col min="2" max="2" width="15.44140625" style="9" customWidth="1"/>
    <col min="3" max="3" width="15.109375" style="9" customWidth="1"/>
    <col min="4" max="4" width="15.44140625" style="9" bestFit="1" customWidth="1"/>
    <col min="5" max="5" width="12.88671875" style="9" bestFit="1" customWidth="1"/>
    <col min="6" max="6" width="11.77734375" style="9" bestFit="1" customWidth="1"/>
    <col min="7" max="11" width="12.88671875" style="9" bestFit="1" customWidth="1"/>
    <col min="12" max="13" width="12.109375" style="9" bestFit="1" customWidth="1"/>
    <col min="14" max="14" width="12.88671875" style="9" bestFit="1" customWidth="1"/>
    <col min="15" max="15" width="11.88671875" style="9" bestFit="1" customWidth="1"/>
    <col min="16" max="16" width="16.44140625" style="5" bestFit="1" customWidth="1"/>
    <col min="17" max="17" width="11.44140625" style="23" customWidth="1"/>
  </cols>
  <sheetData>
    <row r="1" spans="1:17" x14ac:dyDescent="0.3">
      <c r="A1" s="11" t="s">
        <v>133</v>
      </c>
      <c r="B1" s="9" t="s">
        <v>134</v>
      </c>
      <c r="C1" s="14" t="s">
        <v>135</v>
      </c>
      <c r="D1" s="9" t="s">
        <v>136</v>
      </c>
      <c r="E1" s="9" t="s">
        <v>137</v>
      </c>
      <c r="F1" s="9" t="s">
        <v>138</v>
      </c>
      <c r="G1" s="9" t="s">
        <v>139</v>
      </c>
      <c r="H1" s="9" t="s">
        <v>140</v>
      </c>
      <c r="I1" s="9" t="s">
        <v>141</v>
      </c>
      <c r="J1" s="9" t="s">
        <v>142</v>
      </c>
      <c r="K1" s="9" t="s">
        <v>143</v>
      </c>
      <c r="L1" s="9" t="s">
        <v>144</v>
      </c>
      <c r="M1" s="9" t="s">
        <v>145</v>
      </c>
      <c r="N1" s="9" t="s">
        <v>146</v>
      </c>
      <c r="P1" s="9" t="s">
        <v>129</v>
      </c>
      <c r="Q1" s="6" t="s">
        <v>130</v>
      </c>
    </row>
    <row r="2" spans="1:17" x14ac:dyDescent="0.3">
      <c r="C2" s="14"/>
      <c r="P2" s="9"/>
      <c r="Q2" s="5"/>
    </row>
    <row r="3" spans="1:17" ht="15.75" customHeight="1" x14ac:dyDescent="0.3">
      <c r="A3" s="11" t="s">
        <v>0</v>
      </c>
      <c r="C3" s="14"/>
      <c r="P3" s="9"/>
      <c r="Q3" s="5"/>
    </row>
    <row r="4" spans="1:17" x14ac:dyDescent="0.3">
      <c r="A4" s="9" t="s">
        <v>1</v>
      </c>
      <c r="B4" s="36">
        <v>1776</v>
      </c>
      <c r="C4" s="15"/>
      <c r="D4" s="36">
        <v>877</v>
      </c>
      <c r="E4" s="36">
        <v>1929</v>
      </c>
      <c r="F4" s="36">
        <v>483</v>
      </c>
      <c r="G4" s="15"/>
      <c r="H4" s="36">
        <v>1044</v>
      </c>
      <c r="I4" s="36">
        <v>8236</v>
      </c>
      <c r="J4" s="36">
        <v>2201</v>
      </c>
      <c r="K4" s="36">
        <v>1105</v>
      </c>
      <c r="L4" s="36">
        <v>761</v>
      </c>
      <c r="M4" s="36">
        <v>1629</v>
      </c>
      <c r="N4" s="36">
        <v>248</v>
      </c>
      <c r="O4" s="15"/>
      <c r="P4" s="9">
        <f>SUM((B4:O4))</f>
        <v>20289</v>
      </c>
      <c r="Q4" s="66">
        <f>SUM(P4/11)</f>
        <v>1844.4545454545455</v>
      </c>
    </row>
    <row r="5" spans="1:17" x14ac:dyDescent="0.3">
      <c r="A5" s="9" t="s">
        <v>2</v>
      </c>
      <c r="B5" s="36">
        <v>1109</v>
      </c>
      <c r="C5" s="15"/>
      <c r="D5" s="36">
        <v>504</v>
      </c>
      <c r="E5" s="36">
        <v>1151</v>
      </c>
      <c r="F5" s="36">
        <v>323</v>
      </c>
      <c r="G5" s="15"/>
      <c r="H5" s="36">
        <v>975</v>
      </c>
      <c r="I5" s="36">
        <v>4178</v>
      </c>
      <c r="J5" s="36">
        <v>1263</v>
      </c>
      <c r="K5" s="36">
        <v>672</v>
      </c>
      <c r="L5" s="36">
        <v>443</v>
      </c>
      <c r="M5" s="36">
        <v>1288</v>
      </c>
      <c r="N5" s="36">
        <v>120</v>
      </c>
      <c r="O5" s="15"/>
      <c r="P5" s="9">
        <f>SUM((B5:O5))</f>
        <v>12026</v>
      </c>
      <c r="Q5" s="66">
        <f>SUM(P5/11)</f>
        <v>1093.2727272727273</v>
      </c>
    </row>
    <row r="6" spans="1:17" x14ac:dyDescent="0.3">
      <c r="A6" s="9" t="s">
        <v>3</v>
      </c>
      <c r="B6" s="36">
        <v>543</v>
      </c>
      <c r="C6" s="15"/>
      <c r="D6" s="36">
        <v>108</v>
      </c>
      <c r="E6" s="36">
        <v>493</v>
      </c>
      <c r="F6" s="36">
        <v>76</v>
      </c>
      <c r="G6" s="15"/>
      <c r="H6" s="36">
        <v>228</v>
      </c>
      <c r="I6" s="36">
        <v>1317</v>
      </c>
      <c r="J6" s="36">
        <v>617</v>
      </c>
      <c r="K6" s="36">
        <v>347</v>
      </c>
      <c r="L6" s="36">
        <v>123</v>
      </c>
      <c r="M6" s="36">
        <v>699</v>
      </c>
      <c r="N6" s="36">
        <v>27</v>
      </c>
      <c r="O6" s="15"/>
      <c r="P6" s="9">
        <f>SUM((B6:O6))</f>
        <v>4578</v>
      </c>
      <c r="Q6" s="66">
        <f>SUM(P6/11)</f>
        <v>416.18181818181819</v>
      </c>
    </row>
    <row r="7" spans="1:17" x14ac:dyDescent="0.3">
      <c r="A7" s="9" t="s">
        <v>4</v>
      </c>
      <c r="B7" s="37">
        <v>13.96</v>
      </c>
      <c r="C7" s="17"/>
      <c r="D7" s="37">
        <v>13.37</v>
      </c>
      <c r="E7" s="37">
        <v>14.23</v>
      </c>
      <c r="F7" s="37">
        <v>13.12</v>
      </c>
      <c r="G7" s="17"/>
      <c r="H7" s="37">
        <v>12.76</v>
      </c>
      <c r="I7" s="37">
        <v>13.44</v>
      </c>
      <c r="J7" s="37">
        <v>12.79</v>
      </c>
      <c r="K7" s="37">
        <v>13.1</v>
      </c>
      <c r="L7" s="37">
        <v>14.44</v>
      </c>
      <c r="M7" s="37">
        <v>13.57</v>
      </c>
      <c r="N7" s="37">
        <v>13.71</v>
      </c>
      <c r="O7" s="17"/>
      <c r="P7" s="9">
        <f>SUM((B7:O7))</f>
        <v>148.48999999999998</v>
      </c>
      <c r="Q7" s="66">
        <f>SUM(P7/11)</f>
        <v>13.499090909090908</v>
      </c>
    </row>
    <row r="8" spans="1:17" x14ac:dyDescent="0.3">
      <c r="A8" s="9" t="s">
        <v>5</v>
      </c>
      <c r="B8" s="38">
        <v>32.86</v>
      </c>
      <c r="C8" s="15"/>
      <c r="D8" s="38">
        <v>34.799999999999997</v>
      </c>
      <c r="E8" s="38">
        <v>30.5</v>
      </c>
      <c r="F8" s="38">
        <v>35.28</v>
      </c>
      <c r="G8" s="15"/>
      <c r="H8" s="38">
        <v>35.799999999999997</v>
      </c>
      <c r="I8" s="38">
        <v>36</v>
      </c>
      <c r="J8" s="38">
        <v>33</v>
      </c>
      <c r="K8" s="38">
        <v>33</v>
      </c>
      <c r="L8" s="38">
        <v>32.71</v>
      </c>
      <c r="M8" s="38">
        <v>32.32</v>
      </c>
      <c r="N8" s="38">
        <v>36</v>
      </c>
      <c r="O8" s="15"/>
      <c r="P8" s="9">
        <f>SUM((B8:O8))</f>
        <v>372.27</v>
      </c>
      <c r="Q8" s="66">
        <f>SUM(P8/11)</f>
        <v>33.842727272727274</v>
      </c>
    </row>
    <row r="9" spans="1:17" x14ac:dyDescent="0.3">
      <c r="A9" s="9" t="s">
        <v>6</v>
      </c>
      <c r="B9" s="39">
        <v>2397727</v>
      </c>
      <c r="C9" s="19"/>
      <c r="D9" s="39">
        <v>819922</v>
      </c>
      <c r="E9" s="39">
        <v>1490584</v>
      </c>
      <c r="F9" s="39">
        <v>751869</v>
      </c>
      <c r="G9" s="19"/>
      <c r="H9" s="39">
        <v>1140033</v>
      </c>
      <c r="I9" s="39">
        <v>11805503</v>
      </c>
      <c r="J9" s="39">
        <f>1458649+1593559</f>
        <v>3052208</v>
      </c>
      <c r="K9" s="39">
        <v>1184954.43</v>
      </c>
      <c r="L9" s="39">
        <v>1074924</v>
      </c>
      <c r="M9" s="39">
        <v>1787126</v>
      </c>
      <c r="N9" s="65">
        <v>257601.75</v>
      </c>
      <c r="O9" s="19"/>
      <c r="P9" s="9">
        <f>SUM((B9:O9))</f>
        <v>25762452.18</v>
      </c>
      <c r="Q9" s="66">
        <f>SUM(P9/1)</f>
        <v>25762452.18</v>
      </c>
    </row>
    <row r="10" spans="1:17" x14ac:dyDescent="0.3">
      <c r="A10" s="9" t="s">
        <v>7</v>
      </c>
      <c r="B10" s="40">
        <f>((((B7)*B8)*52)*B6)</f>
        <v>12952576.041600002</v>
      </c>
      <c r="C10" s="7"/>
      <c r="D10" s="40">
        <f>((((D7)*D8)*52)*D6)</f>
        <v>2612990.0159999998</v>
      </c>
      <c r="E10" s="40">
        <f>((((E7)*E8)*52)*E6)</f>
        <v>11126408.539999999</v>
      </c>
      <c r="F10" s="40">
        <f>((((F7)*F8)*52)*F6)</f>
        <v>1829276.4672000001</v>
      </c>
      <c r="G10" s="7"/>
      <c r="H10" s="40">
        <f>((((H7)*H8)*52)*H6)</f>
        <v>5415915.6479999991</v>
      </c>
      <c r="I10" s="40">
        <f>((((I7)*I8)*52)*I6)</f>
        <v>33135298.559999999</v>
      </c>
      <c r="J10" s="40">
        <f>((((J7)*J8)*52)*J6)</f>
        <v>13541693.879999999</v>
      </c>
      <c r="K10" s="40">
        <f>((((K7)*K8)*52)*K6)</f>
        <v>7800421.2000000011</v>
      </c>
      <c r="L10" s="40">
        <f>((((L7)*L8)*52)*L6)</f>
        <v>3021038.0304</v>
      </c>
      <c r="M10" s="40">
        <f>((((M7)*M8)*52)*M6)</f>
        <v>15941593.075200001</v>
      </c>
      <c r="N10" s="40">
        <f>((((N7)*N8)*52)*N6)</f>
        <v>692958.24000000011</v>
      </c>
      <c r="O10" s="7"/>
      <c r="P10" s="9">
        <f>SUM((B10:O10))</f>
        <v>108070169.69839999</v>
      </c>
      <c r="Q10" s="66">
        <f>SUM(P10/11)</f>
        <v>9824560.8816727269</v>
      </c>
    </row>
    <row r="11" spans="1:17" x14ac:dyDescent="0.3">
      <c r="A11" s="9" t="s">
        <v>154</v>
      </c>
      <c r="B11" s="41">
        <f>(B10)*(0.298)</f>
        <v>3859867.6603968004</v>
      </c>
      <c r="C11" s="1"/>
      <c r="D11" s="41">
        <f>(D10)*(0.299)</f>
        <v>781284.01478399988</v>
      </c>
      <c r="E11" s="41">
        <f>(E10)*(0.294)</f>
        <v>3271164.1107599996</v>
      </c>
      <c r="F11" s="41">
        <f>(F10)*(0.299)</f>
        <v>546953.66369279998</v>
      </c>
      <c r="G11" s="1"/>
      <c r="H11" s="41">
        <f>(H10)*(0.298)</f>
        <v>1613942.8631039998</v>
      </c>
      <c r="I11" s="41">
        <f>(I10)*(0.302)</f>
        <v>10006860.16512</v>
      </c>
      <c r="J11" s="41">
        <f>(J10)*(0.2911)</f>
        <v>3941987.0884679998</v>
      </c>
      <c r="K11" s="41">
        <f>(K10)*(0.293)</f>
        <v>2285523.4116000002</v>
      </c>
      <c r="L11" s="41">
        <f>(L10)*(0.3)</f>
        <v>906311.40911999997</v>
      </c>
      <c r="M11" s="41">
        <f>(M10)*(0.295)</f>
        <v>4702769.9571839999</v>
      </c>
      <c r="N11" s="41">
        <f>(N10)*(0.304)</f>
        <v>210659.30496000004</v>
      </c>
      <c r="O11" s="1"/>
      <c r="P11" s="9">
        <f>SUM((B11:O11))</f>
        <v>32127323.649189603</v>
      </c>
      <c r="Q11" s="66">
        <f>SUM(P11/11)</f>
        <v>2920665.7862899639</v>
      </c>
    </row>
    <row r="12" spans="1:17" x14ac:dyDescent="0.3">
      <c r="A12" s="9" t="s">
        <v>8</v>
      </c>
      <c r="B12" s="40">
        <f>(B6*6384)</f>
        <v>3466512</v>
      </c>
      <c r="C12" s="7"/>
      <c r="D12" s="40">
        <f>(D6*6384)</f>
        <v>689472</v>
      </c>
      <c r="E12" s="40">
        <f>(E6*6384)</f>
        <v>3147312</v>
      </c>
      <c r="F12" s="40">
        <f>(F6*6384)</f>
        <v>485184</v>
      </c>
      <c r="G12" s="7"/>
      <c r="H12" s="40">
        <f>(H6*6384)</f>
        <v>1455552</v>
      </c>
      <c r="I12" s="40">
        <f>(I6*6384)</f>
        <v>8407728</v>
      </c>
      <c r="J12" s="40">
        <f>(J6*6384)</f>
        <v>3938928</v>
      </c>
      <c r="K12" s="40">
        <f>(K6*6384)</f>
        <v>2215248</v>
      </c>
      <c r="L12" s="40">
        <f>(L6*6384)</f>
        <v>785232</v>
      </c>
      <c r="M12" s="40">
        <f>(M6*6384)</f>
        <v>4462416</v>
      </c>
      <c r="N12" s="40">
        <f>(N6*6384)</f>
        <v>172368</v>
      </c>
      <c r="O12" s="7"/>
      <c r="P12" s="9">
        <f>SUM((B12:O12))</f>
        <v>29225952</v>
      </c>
      <c r="Q12" s="66">
        <f>SUM(P12/11)</f>
        <v>2656904.7272727271</v>
      </c>
    </row>
    <row r="13" spans="1:17" x14ac:dyDescent="0.3">
      <c r="A13" s="9" t="s">
        <v>9</v>
      </c>
      <c r="B13" s="40">
        <f>B11+B12</f>
        <v>7326379.6603968004</v>
      </c>
      <c r="C13" s="7"/>
      <c r="D13" s="40">
        <f>D11+D12</f>
        <v>1470756.0147839999</v>
      </c>
      <c r="E13" s="40">
        <f>E11+E12</f>
        <v>6418476.1107599996</v>
      </c>
      <c r="F13" s="40">
        <f>F11+F12</f>
        <v>1032137.6636928</v>
      </c>
      <c r="G13" s="7"/>
      <c r="H13" s="40">
        <f>H11+H12</f>
        <v>3069494.8631039998</v>
      </c>
      <c r="I13" s="40">
        <f>I11+I12</f>
        <v>18414588.165119998</v>
      </c>
      <c r="J13" s="40">
        <f>J11+J12</f>
        <v>7880915.0884680003</v>
      </c>
      <c r="K13" s="40">
        <f>K11+K12</f>
        <v>4500771.4116000002</v>
      </c>
      <c r="L13" s="40">
        <f>L11+L12</f>
        <v>1691543.40912</v>
      </c>
      <c r="M13" s="40">
        <f>M11+M12</f>
        <v>9165185.9571839999</v>
      </c>
      <c r="N13" s="40">
        <f>N11+N12</f>
        <v>383027.30496000004</v>
      </c>
      <c r="O13" s="7"/>
      <c r="P13" s="9">
        <f>SUM((B13:O13))</f>
        <v>61353275.649189599</v>
      </c>
      <c r="Q13" s="66">
        <f>SUM(P13/11)</f>
        <v>5577570.5135626905</v>
      </c>
    </row>
    <row r="14" spans="1:17" x14ac:dyDescent="0.3">
      <c r="A14" s="9" t="s">
        <v>10</v>
      </c>
      <c r="B14" s="42">
        <f>(B13/B9)*100</f>
        <v>305.55520542567194</v>
      </c>
      <c r="C14" s="8"/>
      <c r="D14" s="42">
        <f>(D13/D9)*100</f>
        <v>179.37755235058944</v>
      </c>
      <c r="E14" s="42">
        <f>(E13/E9)*100</f>
        <v>430.60143613241519</v>
      </c>
      <c r="F14" s="42">
        <f>(F13/F9)*100</f>
        <v>137.27626271236079</v>
      </c>
      <c r="G14" s="8"/>
      <c r="H14" s="42">
        <f>(H13/H9)*100</f>
        <v>269.24614139274911</v>
      </c>
      <c r="I14" s="42">
        <f>(I13/I9)*100</f>
        <v>155.98308826925881</v>
      </c>
      <c r="J14" s="42">
        <f>(J13/J9)*100</f>
        <v>258.20373606477676</v>
      </c>
      <c r="K14" s="42">
        <f>(K13/K9)*100</f>
        <v>379.82653996238491</v>
      </c>
      <c r="L14" s="42">
        <f>(L13/L9)*100</f>
        <v>157.36400053585186</v>
      </c>
      <c r="M14" s="42">
        <f>(M13/M9)*100</f>
        <v>512.84497887580392</v>
      </c>
      <c r="N14" s="42">
        <f>(N13/N9)*100</f>
        <v>148.6897138548166</v>
      </c>
      <c r="O14" s="8"/>
      <c r="P14" s="9">
        <f>SUM((B14:O14))</f>
        <v>2934.9686555766789</v>
      </c>
      <c r="Q14" s="66">
        <f>SUM(P14/11)</f>
        <v>266.81533232515261</v>
      </c>
    </row>
    <row r="15" spans="1:17" ht="16.2" thickBot="1" x14ac:dyDescent="0.35">
      <c r="A15" s="11" t="s">
        <v>11</v>
      </c>
      <c r="B15" s="35">
        <f>+B14*0.01</f>
        <v>3.0555520542567196</v>
      </c>
      <c r="C15" s="33"/>
      <c r="D15" s="35">
        <f>+D14*0.01</f>
        <v>1.7937755235058945</v>
      </c>
      <c r="E15" s="35">
        <f>+E14*0.01</f>
        <v>4.3060143613241522</v>
      </c>
      <c r="F15" s="35">
        <f>+F14*0.01</f>
        <v>1.372762627123608</v>
      </c>
      <c r="G15" s="21"/>
      <c r="H15" s="35">
        <f>+H14*0.01</f>
        <v>2.6924614139274912</v>
      </c>
      <c r="I15" s="35">
        <f>+I14*0.01</f>
        <v>1.5598308826925882</v>
      </c>
      <c r="J15" s="35">
        <f>+J14*0.01</f>
        <v>2.5820373606477678</v>
      </c>
      <c r="K15" s="35">
        <f>+K14*0.01</f>
        <v>3.7982653996238493</v>
      </c>
      <c r="L15" s="35">
        <f>+L14*0.01</f>
        <v>1.5736400053585187</v>
      </c>
      <c r="M15" s="35">
        <f>+M14*0.01</f>
        <v>5.1284497887580391</v>
      </c>
      <c r="N15" s="35">
        <f>+N14*0.01</f>
        <v>1.486897138548166</v>
      </c>
      <c r="O15" s="21"/>
      <c r="P15" s="9">
        <f>SUM((B15:O15))</f>
        <v>29.349686555766795</v>
      </c>
      <c r="Q15" s="22">
        <f>SUM(P15/11)</f>
        <v>2.6681533232515267</v>
      </c>
    </row>
    <row r="16" spans="1:17" ht="16.2" thickTop="1" x14ac:dyDescent="0.3">
      <c r="B16" s="43"/>
      <c r="C16" s="21"/>
      <c r="D16" s="43"/>
      <c r="E16" s="43"/>
      <c r="F16" s="43"/>
      <c r="G16" s="21"/>
      <c r="H16" s="43"/>
      <c r="I16" s="43"/>
      <c r="J16" s="43"/>
      <c r="K16" s="43"/>
      <c r="L16" s="43"/>
      <c r="M16" s="43"/>
      <c r="N16" s="43"/>
      <c r="O16" s="21"/>
      <c r="P16" s="9"/>
      <c r="Q16" s="5"/>
    </row>
    <row r="17" spans="1:17" x14ac:dyDescent="0.3">
      <c r="A17" s="9" t="s">
        <v>12</v>
      </c>
      <c r="B17">
        <f>(B7*B8*52)</f>
        <v>23853.731200000002</v>
      </c>
      <c r="C17" s="14">
        <v>16930.835999999999</v>
      </c>
      <c r="D17">
        <f>(D7*D8*52)</f>
        <v>24194.351999999999</v>
      </c>
      <c r="E17">
        <f>(E7*E8*52)</f>
        <v>22568.78</v>
      </c>
      <c r="F17">
        <f>(F7*F8*52)</f>
        <v>24069.427200000002</v>
      </c>
      <c r="G17" s="14"/>
      <c r="H17">
        <f>(H7*H8*52)</f>
        <v>23754.015999999996</v>
      </c>
      <c r="I17">
        <f>(I7*I8*52)</f>
        <v>25159.68</v>
      </c>
      <c r="J17">
        <f>(J7*J8*52)</f>
        <v>21947.64</v>
      </c>
      <c r="K17">
        <f>(K7*K8*52)</f>
        <v>22479.600000000002</v>
      </c>
      <c r="L17">
        <f>(L7*L8*52)</f>
        <v>24561.284800000001</v>
      </c>
      <c r="M17">
        <f>(M7*M8*52)</f>
        <v>22806.284800000001</v>
      </c>
      <c r="N17">
        <f>(N7*N8*52)</f>
        <v>25665.120000000003</v>
      </c>
      <c r="O17" s="14"/>
      <c r="P17" s="9">
        <f>SUM((B17:O17))</f>
        <v>277990.75200000004</v>
      </c>
      <c r="Q17" s="5"/>
    </row>
    <row r="18" spans="1:17" x14ac:dyDescent="0.3">
      <c r="A18" s="45" t="s">
        <v>147</v>
      </c>
      <c r="B18" s="44">
        <f>(B7*B8*52)-18350</f>
        <v>5503.731200000002</v>
      </c>
      <c r="C18" s="14">
        <v>-4569.1639999999998</v>
      </c>
      <c r="D18" s="44">
        <f>(D7*D8*52)-18350</f>
        <v>5844.351999999999</v>
      </c>
      <c r="E18" s="44">
        <f>(E7*E8*52)-18350</f>
        <v>4218.7799999999988</v>
      </c>
      <c r="F18" s="44">
        <f>(F7*F8*52)-18350</f>
        <v>5719.4272000000019</v>
      </c>
      <c r="G18" s="14"/>
      <c r="H18" s="44">
        <f>(H7*H8*52)-18350</f>
        <v>5404.015999999996</v>
      </c>
      <c r="I18" s="44">
        <f>(I7*I8*52)-18350</f>
        <v>6809.68</v>
      </c>
      <c r="J18" s="44">
        <f>(J7*J8*52)-18350</f>
        <v>3597.6399999999994</v>
      </c>
      <c r="K18" s="44">
        <f>(K7*K8*52)-18350</f>
        <v>4129.6000000000022</v>
      </c>
      <c r="L18" s="44">
        <f>(L7*L8*52)-18350</f>
        <v>6211.2848000000013</v>
      </c>
      <c r="M18" s="44">
        <f>(M7*M8*52)-18350</f>
        <v>4456.2848000000013</v>
      </c>
      <c r="N18" s="44">
        <f>(N7*N8*52)-18350</f>
        <v>7315.1200000000026</v>
      </c>
      <c r="O18" s="14"/>
      <c r="P18" s="9">
        <f>SUM((B18:O18))</f>
        <v>54640.752</v>
      </c>
      <c r="Q18" s="5"/>
    </row>
    <row r="19" spans="1:17" x14ac:dyDescent="0.3">
      <c r="C19" s="14"/>
      <c r="F19" s="14"/>
      <c r="G19" s="14"/>
      <c r="H19" s="14"/>
      <c r="J19" s="14"/>
      <c r="K19" s="14"/>
      <c r="L19" s="14"/>
      <c r="O19" s="14"/>
      <c r="P19" s="9"/>
      <c r="Q19" s="5"/>
    </row>
    <row r="20" spans="1:17" x14ac:dyDescent="0.3">
      <c r="A20" s="11" t="s">
        <v>14</v>
      </c>
      <c r="C20" s="14"/>
      <c r="F20" s="14"/>
      <c r="G20" s="14"/>
      <c r="H20" s="14"/>
      <c r="J20" s="14"/>
      <c r="K20" s="14"/>
      <c r="L20" s="14"/>
      <c r="O20" s="14"/>
      <c r="P20" s="9"/>
      <c r="Q20" s="5"/>
    </row>
    <row r="21" spans="1:17" x14ac:dyDescent="0.3">
      <c r="A21" s="9" t="s">
        <v>15</v>
      </c>
      <c r="B21" s="36">
        <v>580</v>
      </c>
      <c r="C21" s="15"/>
      <c r="D21" s="36">
        <v>418</v>
      </c>
      <c r="E21" s="36">
        <v>834</v>
      </c>
      <c r="F21" s="36">
        <v>101</v>
      </c>
      <c r="G21" s="15"/>
      <c r="H21" s="36">
        <v>337</v>
      </c>
      <c r="I21" s="36">
        <v>1680</v>
      </c>
      <c r="J21" s="36">
        <v>766</v>
      </c>
      <c r="K21" s="36">
        <v>380</v>
      </c>
      <c r="L21" s="36">
        <v>308</v>
      </c>
      <c r="M21" s="36">
        <v>776</v>
      </c>
      <c r="N21" s="36">
        <v>31</v>
      </c>
      <c r="O21" s="15"/>
      <c r="P21" s="9">
        <f>SUM((B21:O21))</f>
        <v>6211</v>
      </c>
      <c r="Q21" s="66">
        <f>SUM(P21/11)</f>
        <v>564.63636363636363</v>
      </c>
    </row>
    <row r="22" spans="1:17" x14ac:dyDescent="0.3">
      <c r="A22" s="9" t="s">
        <v>16</v>
      </c>
      <c r="B22" s="36">
        <v>521</v>
      </c>
      <c r="C22" s="15"/>
      <c r="D22" s="36">
        <v>341</v>
      </c>
      <c r="E22" s="36">
        <v>700</v>
      </c>
      <c r="F22" s="36">
        <v>87</v>
      </c>
      <c r="G22" s="15"/>
      <c r="H22" s="36">
        <v>337</v>
      </c>
      <c r="I22" s="36">
        <v>1441</v>
      </c>
      <c r="J22" s="36">
        <v>632</v>
      </c>
      <c r="K22" s="36">
        <v>293</v>
      </c>
      <c r="L22" s="36">
        <v>254</v>
      </c>
      <c r="M22" s="36">
        <v>776</v>
      </c>
      <c r="N22" s="36">
        <v>25</v>
      </c>
      <c r="O22" s="15"/>
      <c r="P22" s="9">
        <f>SUM((B22:O22))</f>
        <v>5407</v>
      </c>
      <c r="Q22" s="66">
        <f t="shared" ref="Q22:Q31" si="0">SUM(P22/11)</f>
        <v>491.54545454545456</v>
      </c>
    </row>
    <row r="23" spans="1:17" x14ac:dyDescent="0.3">
      <c r="A23" s="9" t="s">
        <v>17</v>
      </c>
      <c r="B23" s="36">
        <v>231</v>
      </c>
      <c r="C23" s="15"/>
      <c r="D23" s="36">
        <v>50</v>
      </c>
      <c r="E23" s="36">
        <v>265</v>
      </c>
      <c r="F23" s="36">
        <v>34</v>
      </c>
      <c r="G23" s="15"/>
      <c r="H23" s="36">
        <v>80</v>
      </c>
      <c r="I23" s="36">
        <v>568</v>
      </c>
      <c r="J23" s="36">
        <v>325</v>
      </c>
      <c r="K23" s="36">
        <v>120</v>
      </c>
      <c r="L23" s="36">
        <v>46</v>
      </c>
      <c r="M23" s="36">
        <v>454</v>
      </c>
      <c r="N23" s="36">
        <v>6</v>
      </c>
      <c r="O23" s="15"/>
      <c r="P23" s="9">
        <f>SUM((B23:O23))</f>
        <v>2179</v>
      </c>
      <c r="Q23" s="66">
        <f t="shared" si="0"/>
        <v>198.09090909090909</v>
      </c>
    </row>
    <row r="24" spans="1:17" x14ac:dyDescent="0.3">
      <c r="A24" s="9" t="s">
        <v>18</v>
      </c>
      <c r="B24" s="37">
        <v>14.49</v>
      </c>
      <c r="C24" s="17"/>
      <c r="D24" s="37">
        <v>14.01</v>
      </c>
      <c r="E24" s="37">
        <v>14.83</v>
      </c>
      <c r="F24" s="37">
        <v>11.98</v>
      </c>
      <c r="G24" s="17"/>
      <c r="H24" s="37">
        <v>13.58</v>
      </c>
      <c r="I24" s="37">
        <v>13.72</v>
      </c>
      <c r="J24" s="37">
        <v>12.56</v>
      </c>
      <c r="K24" s="37">
        <v>13.29</v>
      </c>
      <c r="L24" s="37">
        <v>15.06</v>
      </c>
      <c r="M24" s="37">
        <v>13.88</v>
      </c>
      <c r="N24" s="37">
        <v>11.98</v>
      </c>
      <c r="O24" s="17"/>
      <c r="P24" s="9">
        <f>SUM((B24:O24))</f>
        <v>149.38</v>
      </c>
      <c r="Q24" s="66">
        <f t="shared" si="0"/>
        <v>13.58</v>
      </c>
    </row>
    <row r="25" spans="1:17" x14ac:dyDescent="0.3">
      <c r="A25" s="9" t="s">
        <v>19</v>
      </c>
      <c r="B25" s="38">
        <v>31.7</v>
      </c>
      <c r="C25" s="15"/>
      <c r="D25" s="38">
        <v>32.9</v>
      </c>
      <c r="E25" s="38">
        <v>34.200000000000003</v>
      </c>
      <c r="F25" s="38">
        <v>26.91</v>
      </c>
      <c r="G25" s="15"/>
      <c r="H25" s="38">
        <v>33.6</v>
      </c>
      <c r="I25" s="38">
        <v>32</v>
      </c>
      <c r="J25" s="38">
        <v>32</v>
      </c>
      <c r="K25" s="38">
        <v>32</v>
      </c>
      <c r="L25" s="38">
        <v>35.17</v>
      </c>
      <c r="M25" s="38">
        <v>32.93</v>
      </c>
      <c r="N25" s="38">
        <v>37</v>
      </c>
      <c r="O25" s="15"/>
      <c r="P25" s="9">
        <f>SUM((B25:O25))</f>
        <v>360.41</v>
      </c>
      <c r="Q25" s="66">
        <f t="shared" si="0"/>
        <v>32.764545454545456</v>
      </c>
    </row>
    <row r="26" spans="1:17" x14ac:dyDescent="0.3">
      <c r="A26" s="9" t="s">
        <v>20</v>
      </c>
      <c r="B26" s="39">
        <v>424661</v>
      </c>
      <c r="C26" s="19"/>
      <c r="D26" s="39">
        <v>208065</v>
      </c>
      <c r="E26" s="39">
        <v>532072</v>
      </c>
      <c r="F26" s="39">
        <v>161293</v>
      </c>
      <c r="G26" s="19"/>
      <c r="H26" s="39">
        <v>210224</v>
      </c>
      <c r="I26" s="39">
        <v>1155827</v>
      </c>
      <c r="J26" s="39">
        <f>403513+448963</f>
        <v>852476</v>
      </c>
      <c r="K26" s="39">
        <v>237817.66999999998</v>
      </c>
      <c r="L26" s="39">
        <v>150755</v>
      </c>
      <c r="M26" s="39">
        <v>722683</v>
      </c>
      <c r="N26" s="65">
        <v>25407.03</v>
      </c>
      <c r="O26" s="19"/>
      <c r="P26" s="9">
        <f>SUM((B26:O26))</f>
        <v>4681280.7</v>
      </c>
      <c r="Q26" s="66">
        <f t="shared" si="0"/>
        <v>425570.97272727272</v>
      </c>
    </row>
    <row r="27" spans="1:17" x14ac:dyDescent="0.3">
      <c r="A27" s="9" t="s">
        <v>21</v>
      </c>
      <c r="B27" s="40">
        <f>((((B24)*B25)*52)*B23)</f>
        <v>5517507.9959999993</v>
      </c>
      <c r="C27" s="7"/>
      <c r="D27" s="40">
        <f>((((D24)*D25)*52)*D23)</f>
        <v>1198415.3999999999</v>
      </c>
      <c r="E27" s="40">
        <f>((((E24)*E25)*52)*E23)</f>
        <v>6989023.080000001</v>
      </c>
      <c r="F27" s="40">
        <f>((((F24)*F25)*52)*F23)</f>
        <v>569971.0223999999</v>
      </c>
      <c r="G27" s="7"/>
      <c r="H27" s="40">
        <f>((((H24)*H25)*52)*H23)</f>
        <v>1898158.0800000001</v>
      </c>
      <c r="I27" s="40">
        <f>((((I24)*I25)*52)*I23)</f>
        <v>12967485.440000001</v>
      </c>
      <c r="J27" s="40">
        <f>((((J24)*J25)*52)*J23)</f>
        <v>6792448</v>
      </c>
      <c r="K27" s="40">
        <f>((((K24)*K25)*52)*K23)</f>
        <v>2653747.1999999997</v>
      </c>
      <c r="L27" s="40">
        <f>((((L24)*L25)*52)*L23)</f>
        <v>1266947.1984000001</v>
      </c>
      <c r="M27" s="40">
        <f>((((M24)*M25)*52)*M23)</f>
        <v>10790470.7872</v>
      </c>
      <c r="N27" s="40">
        <f>((((N24)*N25)*52)*N23)</f>
        <v>138297.12</v>
      </c>
      <c r="O27" s="7"/>
      <c r="P27" s="9">
        <f>SUM((B27:O27))</f>
        <v>50782471.323999994</v>
      </c>
      <c r="Q27" s="66">
        <f t="shared" si="0"/>
        <v>4616588.3021818176</v>
      </c>
    </row>
    <row r="28" spans="1:17" x14ac:dyDescent="0.3">
      <c r="A28" s="9" t="s">
        <v>154</v>
      </c>
      <c r="B28" s="41">
        <f>(B27)*(0.298)</f>
        <v>1644217.3828079998</v>
      </c>
      <c r="C28" s="1"/>
      <c r="D28" s="41">
        <f>(D27)*(0.298)</f>
        <v>357127.78919999994</v>
      </c>
      <c r="E28" s="41">
        <f>(E27)*(0.305)</f>
        <v>2131652.0394000001</v>
      </c>
      <c r="F28" s="41">
        <f>(F27)*(0.275)</f>
        <v>156742.03115999998</v>
      </c>
      <c r="G28" s="1"/>
      <c r="H28" s="41">
        <f>(H27)*(0.298)</f>
        <v>565651.10783999995</v>
      </c>
      <c r="I28" s="41">
        <f>(I27)*(0.295)</f>
        <v>3825408.2048000004</v>
      </c>
      <c r="J28" s="41">
        <f>(J27)*(0.2872)</f>
        <v>1950791.0656000001</v>
      </c>
      <c r="K28" s="41">
        <f>(K27)*(0.292)</f>
        <v>774894.18239999982</v>
      </c>
      <c r="L28" s="41">
        <f>(L27)*(0.308)</f>
        <v>390219.73710720002</v>
      </c>
      <c r="M28" s="41">
        <f>(M27)*(0.298)</f>
        <v>3215560.2945856</v>
      </c>
      <c r="N28" s="41">
        <f>(N27)*(0.295)</f>
        <v>40797.650399999999</v>
      </c>
      <c r="O28" s="1"/>
      <c r="P28" s="9">
        <f>SUM((B28:O28))</f>
        <v>15053061.485300802</v>
      </c>
      <c r="Q28" s="66">
        <f t="shared" si="0"/>
        <v>1368460.1350273455</v>
      </c>
    </row>
    <row r="29" spans="1:17" x14ac:dyDescent="0.3">
      <c r="A29" s="9" t="s">
        <v>8</v>
      </c>
      <c r="B29" s="40">
        <f>(B23*6384)</f>
        <v>1474704</v>
      </c>
      <c r="C29" s="7"/>
      <c r="D29" s="40">
        <f>(D23*6384)</f>
        <v>319200</v>
      </c>
      <c r="E29" s="40">
        <f>(E23*6384)</f>
        <v>1691760</v>
      </c>
      <c r="F29" s="40">
        <f>(F23*6384)</f>
        <v>217056</v>
      </c>
      <c r="G29" s="7"/>
      <c r="H29" s="40">
        <f>(H23*6384)</f>
        <v>510720</v>
      </c>
      <c r="I29" s="40">
        <f>(I23*6384)</f>
        <v>3626112</v>
      </c>
      <c r="J29" s="40">
        <f>(J23*6384)</f>
        <v>2074800</v>
      </c>
      <c r="K29" s="40">
        <f>(K23*6384)</f>
        <v>766080</v>
      </c>
      <c r="L29" s="40">
        <f>(L23*6384)</f>
        <v>293664</v>
      </c>
      <c r="M29" s="40">
        <f>(M23*6384)</f>
        <v>2898336</v>
      </c>
      <c r="N29" s="40">
        <f>(N23*6384)</f>
        <v>38304</v>
      </c>
      <c r="O29" s="7"/>
      <c r="P29" s="9">
        <f>SUM((B29:O29))</f>
        <v>13910736</v>
      </c>
      <c r="Q29" s="66">
        <f t="shared" si="0"/>
        <v>1264612.3636363635</v>
      </c>
    </row>
    <row r="30" spans="1:17" x14ac:dyDescent="0.3">
      <c r="A30" s="9" t="s">
        <v>22</v>
      </c>
      <c r="B30" s="40">
        <f>B28+B29</f>
        <v>3118921.3828079998</v>
      </c>
      <c r="C30" s="7"/>
      <c r="D30" s="40">
        <f>D28+D29</f>
        <v>676327.7892</v>
      </c>
      <c r="E30" s="40">
        <f>E28+E29</f>
        <v>3823412.0394000001</v>
      </c>
      <c r="F30" s="40">
        <f>F28+F29</f>
        <v>373798.03116000001</v>
      </c>
      <c r="G30" s="7"/>
      <c r="H30" s="40">
        <f>H28+H29</f>
        <v>1076371.10784</v>
      </c>
      <c r="I30" s="40">
        <f>I28+I29</f>
        <v>7451520.2048000004</v>
      </c>
      <c r="J30" s="40">
        <f>J28+J29</f>
        <v>4025591.0656000003</v>
      </c>
      <c r="K30" s="40">
        <f>K28+K29</f>
        <v>1540974.1823999998</v>
      </c>
      <c r="L30" s="40">
        <f>L28+L29</f>
        <v>683883.73710720008</v>
      </c>
      <c r="M30" s="40">
        <f>M28+M29</f>
        <v>6113896.2945856005</v>
      </c>
      <c r="N30" s="40">
        <f>N28+N29</f>
        <v>79101.650399999999</v>
      </c>
      <c r="O30" s="7"/>
      <c r="P30" s="9">
        <f>SUM((B30:O30))</f>
        <v>28963797.485300802</v>
      </c>
      <c r="Q30" s="66">
        <f t="shared" si="0"/>
        <v>2633072.498663709</v>
      </c>
    </row>
    <row r="31" spans="1:17" x14ac:dyDescent="0.3">
      <c r="A31" s="9" t="s">
        <v>23</v>
      </c>
      <c r="B31" s="42">
        <f>(B30/B26)*100</f>
        <v>734.44968641057221</v>
      </c>
      <c r="C31" s="8"/>
      <c r="D31" s="42">
        <f>(D30/D26)*100</f>
        <v>325.05601095811409</v>
      </c>
      <c r="E31" s="42">
        <f>(E30/E26)*100</f>
        <v>718.58922089491648</v>
      </c>
      <c r="F31" s="42">
        <f>(F30/F26)*100</f>
        <v>231.75093225372461</v>
      </c>
      <c r="G31" s="8"/>
      <c r="H31" s="42">
        <f>(H30/H26)*100</f>
        <v>512.01152477357482</v>
      </c>
      <c r="I31" s="42">
        <f>(I30/I26)*100</f>
        <v>644.69165409702316</v>
      </c>
      <c r="J31" s="42">
        <f>(J30/J26)*100</f>
        <v>472.22338993707746</v>
      </c>
      <c r="K31" s="42">
        <f>(K30/K26)*100</f>
        <v>647.96454460259406</v>
      </c>
      <c r="L31" s="42">
        <f>(L30/L26)*100</f>
        <v>453.63917422785323</v>
      </c>
      <c r="M31" s="42">
        <f>(M30/M26)*100</f>
        <v>845.99973910907011</v>
      </c>
      <c r="N31" s="42">
        <f>(N30/N26)*100</f>
        <v>311.33765103595346</v>
      </c>
      <c r="O31" s="8"/>
      <c r="P31" s="9">
        <f>SUM((B31:O31))</f>
        <v>5897.7135283004736</v>
      </c>
      <c r="Q31" s="66">
        <f t="shared" si="0"/>
        <v>536.15577530004305</v>
      </c>
    </row>
    <row r="32" spans="1:17" ht="16.2" thickBot="1" x14ac:dyDescent="0.35">
      <c r="A32" s="11" t="s">
        <v>11</v>
      </c>
      <c r="B32" s="35">
        <f>+B31*0.01</f>
        <v>7.3444968641057224</v>
      </c>
      <c r="C32" s="33"/>
      <c r="D32" s="35">
        <f>+D31*0.01</f>
        <v>3.2505601095811407</v>
      </c>
      <c r="E32" s="35">
        <f>+E31*0.01</f>
        <v>7.1858922089491646</v>
      </c>
      <c r="F32" s="35">
        <f>+F31*0.01</f>
        <v>2.3175093225372461</v>
      </c>
      <c r="G32" s="21"/>
      <c r="H32" s="35">
        <f>+H31*0.01</f>
        <v>5.1201152477357486</v>
      </c>
      <c r="I32" s="35">
        <f>+I31*0.01</f>
        <v>6.446916540970232</v>
      </c>
      <c r="J32" s="35">
        <f>+J31*0.01</f>
        <v>4.7222338993707744</v>
      </c>
      <c r="K32" s="35">
        <f>+K31*0.01</f>
        <v>6.4796454460259412</v>
      </c>
      <c r="L32" s="35">
        <f>+L31*0.01</f>
        <v>4.536391742278532</v>
      </c>
      <c r="M32" s="35">
        <f>+M31*0.01</f>
        <v>8.4599973910907007</v>
      </c>
      <c r="N32" s="35">
        <f>+N31*0.01</f>
        <v>3.1133765103595348</v>
      </c>
      <c r="O32" s="21"/>
      <c r="P32" s="9">
        <f>SUM((B32:O32))</f>
        <v>58.977135283004742</v>
      </c>
      <c r="Q32" s="22">
        <f>SUM(P32/11)</f>
        <v>5.3615577530004312</v>
      </c>
    </row>
    <row r="33" spans="1:17" ht="15" thickTop="1" x14ac:dyDescent="0.3">
      <c r="B33" s="47"/>
      <c r="C33" s="14"/>
      <c r="D33" s="47"/>
      <c r="E33" s="47"/>
      <c r="F33" s="47"/>
      <c r="G33" s="14"/>
      <c r="H33" s="47"/>
      <c r="I33" s="47"/>
      <c r="J33" s="47"/>
      <c r="K33" s="47"/>
      <c r="L33" s="47"/>
      <c r="M33" s="47"/>
      <c r="N33" s="47"/>
      <c r="O33" s="14"/>
      <c r="P33" s="9"/>
      <c r="Q33" s="5"/>
    </row>
    <row r="34" spans="1:17" x14ac:dyDescent="0.3">
      <c r="A34" s="9" t="s">
        <v>12</v>
      </c>
      <c r="B34">
        <f>(B24*B25*52)</f>
        <v>23885.315999999999</v>
      </c>
      <c r="C34" s="14">
        <v>20212.919999999998</v>
      </c>
      <c r="D34">
        <f>(D24*D25*52)</f>
        <v>23968.307999999997</v>
      </c>
      <c r="E34">
        <f>(E24*E25*52)</f>
        <v>26373.672000000002</v>
      </c>
      <c r="F34">
        <f>(F24*F25*52)</f>
        <v>16763.853599999999</v>
      </c>
      <c r="G34" s="14"/>
      <c r="H34">
        <f>(H24*H25*52)</f>
        <v>23726.976000000002</v>
      </c>
      <c r="I34">
        <f>(I24*I25*52)</f>
        <v>22830.080000000002</v>
      </c>
      <c r="J34">
        <f>(J24*J25*52)</f>
        <v>20899.84</v>
      </c>
      <c r="K34">
        <f>(K24*K25*52)</f>
        <v>22114.559999999998</v>
      </c>
      <c r="L34">
        <f>(L24*L25*52)</f>
        <v>27542.330400000003</v>
      </c>
      <c r="M34">
        <f>(M24*M25*52)</f>
        <v>23767.556799999998</v>
      </c>
      <c r="N34">
        <f>(N24*N25*52)</f>
        <v>23049.52</v>
      </c>
      <c r="O34" s="14"/>
      <c r="P34" s="9">
        <f>SUM((B34:O34))</f>
        <v>275134.93280000001</v>
      </c>
      <c r="Q34" s="5"/>
    </row>
    <row r="35" spans="1:17" x14ac:dyDescent="0.3">
      <c r="A35" s="45" t="s">
        <v>147</v>
      </c>
      <c r="B35" s="44">
        <f>(B24*B25*52)-18350</f>
        <v>5535.3159999999989</v>
      </c>
      <c r="C35" s="14">
        <v>-1287.08</v>
      </c>
      <c r="D35" s="44">
        <f>(D24*D25*52)-18350</f>
        <v>5618.3079999999973</v>
      </c>
      <c r="E35" s="44">
        <f>(E24*E25*52)-18350</f>
        <v>8023.6720000000023</v>
      </c>
      <c r="F35" s="44">
        <f>(F24*F25*52)-18350</f>
        <v>-1586.1464000000014</v>
      </c>
      <c r="G35" s="14"/>
      <c r="H35" s="44">
        <f>(H24*H25*52)-18350</f>
        <v>5376.9760000000024</v>
      </c>
      <c r="I35" s="44">
        <f>(I24*I25*52)-18350</f>
        <v>4480.0800000000017</v>
      </c>
      <c r="J35" s="44">
        <f>(J24*J25*52)-18350</f>
        <v>2549.84</v>
      </c>
      <c r="K35" s="44">
        <f>(K24*K25*52)-18350</f>
        <v>3764.5599999999977</v>
      </c>
      <c r="L35" s="44">
        <f>(L24*L25*52)-18350</f>
        <v>9192.3304000000026</v>
      </c>
      <c r="M35" s="44">
        <f>(M24*M25*52)-18350</f>
        <v>5417.5567999999985</v>
      </c>
      <c r="N35" s="44">
        <f>(N24*N25*52)-18350</f>
        <v>4699.5200000000004</v>
      </c>
      <c r="O35" s="14"/>
      <c r="P35" s="9">
        <f>SUM((B35:O35))</f>
        <v>51784.932799999995</v>
      </c>
      <c r="Q35" s="5"/>
    </row>
    <row r="36" spans="1:17" x14ac:dyDescent="0.3">
      <c r="C36" s="14"/>
      <c r="F36" s="14"/>
      <c r="G36" s="14"/>
      <c r="H36" s="14"/>
      <c r="J36" s="14"/>
      <c r="K36" s="14"/>
      <c r="L36" s="14"/>
      <c r="O36" s="14"/>
      <c r="P36" s="9"/>
      <c r="Q36" s="5"/>
    </row>
    <row r="37" spans="1:17" x14ac:dyDescent="0.3">
      <c r="A37" s="11" t="s">
        <v>24</v>
      </c>
      <c r="C37" s="14"/>
      <c r="F37" s="14"/>
      <c r="G37" s="14"/>
      <c r="H37" s="14"/>
      <c r="I37" s="31"/>
      <c r="J37" s="14"/>
      <c r="K37" s="14"/>
      <c r="L37" s="14"/>
      <c r="O37" s="14"/>
      <c r="P37" s="9"/>
      <c r="Q37" s="5"/>
    </row>
    <row r="38" spans="1:17" x14ac:dyDescent="0.3">
      <c r="A38" s="9" t="s">
        <v>25</v>
      </c>
      <c r="B38" s="36">
        <v>239</v>
      </c>
      <c r="C38" s="15"/>
      <c r="D38" s="36">
        <v>122</v>
      </c>
      <c r="E38" s="36">
        <v>181</v>
      </c>
      <c r="F38" s="15"/>
      <c r="G38" s="15"/>
      <c r="H38" s="15"/>
      <c r="I38" s="36">
        <v>867</v>
      </c>
      <c r="J38" s="36">
        <f>113+23</f>
        <v>136</v>
      </c>
      <c r="K38" s="36">
        <v>235</v>
      </c>
      <c r="L38" s="36">
        <v>355</v>
      </c>
      <c r="M38" s="36">
        <v>115</v>
      </c>
      <c r="O38" s="15"/>
      <c r="P38" s="9">
        <f>SUM((B38:O38))</f>
        <v>2250</v>
      </c>
      <c r="Q38" s="5">
        <f>SUM(P38/8)</f>
        <v>281.25</v>
      </c>
    </row>
    <row r="39" spans="1:17" x14ac:dyDescent="0.3">
      <c r="A39" s="9" t="s">
        <v>26</v>
      </c>
      <c r="B39" s="36">
        <v>229</v>
      </c>
      <c r="C39" s="15"/>
      <c r="D39" s="36">
        <v>110</v>
      </c>
      <c r="E39" s="36">
        <v>159</v>
      </c>
      <c r="F39" s="15"/>
      <c r="G39" s="15"/>
      <c r="H39" s="15"/>
      <c r="I39" s="36">
        <v>704</v>
      </c>
      <c r="J39" s="36">
        <f>98+16</f>
        <v>114</v>
      </c>
      <c r="K39" s="36">
        <v>204</v>
      </c>
      <c r="L39" s="36">
        <v>323</v>
      </c>
      <c r="M39" s="36">
        <v>115</v>
      </c>
      <c r="O39" s="15"/>
      <c r="P39" s="9">
        <f>SUM((B39:O39))</f>
        <v>1958</v>
      </c>
      <c r="Q39" s="66">
        <f t="shared" ref="Q39:Q48" si="1">SUM(P39/8)</f>
        <v>244.75</v>
      </c>
    </row>
    <row r="40" spans="1:17" x14ac:dyDescent="0.3">
      <c r="A40" s="9" t="s">
        <v>27</v>
      </c>
      <c r="B40" s="36">
        <v>42</v>
      </c>
      <c r="C40" s="15"/>
      <c r="D40" s="36">
        <v>30</v>
      </c>
      <c r="E40" s="36">
        <v>55</v>
      </c>
      <c r="F40" s="15"/>
      <c r="G40" s="15"/>
      <c r="H40" s="15"/>
      <c r="I40" s="36">
        <v>63</v>
      </c>
      <c r="J40" s="36">
        <f>37+4</f>
        <v>41</v>
      </c>
      <c r="K40" s="36">
        <v>81</v>
      </c>
      <c r="L40" s="36">
        <v>29</v>
      </c>
      <c r="M40" s="36">
        <v>45</v>
      </c>
      <c r="O40" s="15"/>
      <c r="P40" s="9">
        <f>SUM((B40:O40))</f>
        <v>386</v>
      </c>
      <c r="Q40" s="66">
        <f t="shared" si="1"/>
        <v>48.25</v>
      </c>
    </row>
    <row r="41" spans="1:17" x14ac:dyDescent="0.3">
      <c r="A41" s="9" t="s">
        <v>28</v>
      </c>
      <c r="B41" s="37">
        <v>12.8</v>
      </c>
      <c r="C41" s="17"/>
      <c r="D41" s="37">
        <v>13.28</v>
      </c>
      <c r="E41" s="37">
        <v>16.16</v>
      </c>
      <c r="F41" s="17"/>
      <c r="G41" s="17"/>
      <c r="H41" s="17"/>
      <c r="I41" s="37">
        <v>13.42</v>
      </c>
      <c r="J41" s="37">
        <f>(11.74+13.97)/2</f>
        <v>12.855</v>
      </c>
      <c r="K41" s="37">
        <v>12.41</v>
      </c>
      <c r="L41" s="37">
        <v>15.85</v>
      </c>
      <c r="M41" s="37">
        <v>12.18</v>
      </c>
      <c r="N41" s="16"/>
      <c r="O41" s="17"/>
      <c r="P41" s="9">
        <f>SUM((B41:O41))</f>
        <v>108.95499999999998</v>
      </c>
      <c r="Q41" s="66">
        <f t="shared" si="1"/>
        <v>13.619374999999998</v>
      </c>
    </row>
    <row r="42" spans="1:17" x14ac:dyDescent="0.3">
      <c r="A42" s="9" t="s">
        <v>29</v>
      </c>
      <c r="B42" s="38">
        <v>30.67</v>
      </c>
      <c r="C42" s="15"/>
      <c r="D42" s="38">
        <v>29.2</v>
      </c>
      <c r="E42" s="38">
        <v>34.799999999999997</v>
      </c>
      <c r="F42" s="15"/>
      <c r="G42" s="15"/>
      <c r="H42" s="15"/>
      <c r="I42" s="38">
        <v>33</v>
      </c>
      <c r="J42" s="38">
        <v>32</v>
      </c>
      <c r="K42" s="38">
        <v>30</v>
      </c>
      <c r="L42" s="38">
        <v>32.450000000000003</v>
      </c>
      <c r="M42" s="38">
        <v>28</v>
      </c>
      <c r="O42" s="15"/>
      <c r="P42" s="9">
        <f>SUM((B42:O42))</f>
        <v>250.12</v>
      </c>
      <c r="Q42" s="66">
        <f t="shared" si="1"/>
        <v>31.265000000000001</v>
      </c>
    </row>
    <row r="43" spans="1:17" x14ac:dyDescent="0.3">
      <c r="A43" s="9" t="s">
        <v>30</v>
      </c>
      <c r="B43" s="39">
        <v>80056</v>
      </c>
      <c r="C43" s="19"/>
      <c r="D43" s="39">
        <v>94109</v>
      </c>
      <c r="E43" s="39">
        <v>123113</v>
      </c>
      <c r="F43" s="19"/>
      <c r="G43" s="19"/>
      <c r="H43" s="19"/>
      <c r="I43" s="39">
        <v>274788</v>
      </c>
      <c r="J43" s="39">
        <f>8910+33660+495+3960</f>
        <v>47025</v>
      </c>
      <c r="K43" s="39">
        <v>86127.8</v>
      </c>
      <c r="L43" s="39">
        <v>78157</v>
      </c>
      <c r="M43" s="39">
        <v>34046</v>
      </c>
      <c r="N43" s="18"/>
      <c r="O43" s="19"/>
      <c r="P43" s="9">
        <f>SUM((B43:O43))</f>
        <v>817421.8</v>
      </c>
      <c r="Q43" s="66">
        <f t="shared" si="1"/>
        <v>102177.72500000001</v>
      </c>
    </row>
    <row r="44" spans="1:17" x14ac:dyDescent="0.3">
      <c r="A44" s="9" t="s">
        <v>31</v>
      </c>
      <c r="B44" s="40">
        <f>((((B41)*B42)*52)*B40)</f>
        <v>857385.98400000005</v>
      </c>
      <c r="C44" s="7" t="s">
        <v>69</v>
      </c>
      <c r="D44" s="40">
        <f>((((D41)*D42)*52)*D40)</f>
        <v>604930.55999999994</v>
      </c>
      <c r="E44" s="40">
        <f>((((E41)*E42)*52)*E40)</f>
        <v>1608372.48</v>
      </c>
      <c r="F44" s="7"/>
      <c r="G44" s="7"/>
      <c r="H44" s="7"/>
      <c r="I44" s="40">
        <f>((((I41)*I42)*52)*I40)</f>
        <v>1450809.36</v>
      </c>
      <c r="J44" s="40">
        <f>((((J41)*J42)*52)*J40)</f>
        <v>877019.52</v>
      </c>
      <c r="K44" s="40">
        <f>((((K41)*K42)*52)*K40)</f>
        <v>1568127.6</v>
      </c>
      <c r="L44" s="40">
        <f>((((L41)*L42)*52)*L40)</f>
        <v>775613.41</v>
      </c>
      <c r="M44" s="40">
        <f>((((M41)*M42)*52)*M40)</f>
        <v>798033.59999999986</v>
      </c>
      <c r="N44" s="20"/>
      <c r="O44" s="7"/>
      <c r="P44" s="9">
        <f>SUM((B44:O44))</f>
        <v>8540292.5140000004</v>
      </c>
      <c r="Q44" s="66">
        <f t="shared" si="1"/>
        <v>1067536.5642500001</v>
      </c>
    </row>
    <row r="45" spans="1:17" x14ac:dyDescent="0.3">
      <c r="A45" s="9" t="s">
        <v>154</v>
      </c>
      <c r="B45" s="41">
        <f>(B44)*(0.285)</f>
        <v>244355.00544000001</v>
      </c>
      <c r="C45" s="1" t="s">
        <v>69</v>
      </c>
      <c r="D45" s="41">
        <f>(D44)*(0.284)</f>
        <v>171800.27903999996</v>
      </c>
      <c r="E45" s="41">
        <f>(E44)*(0.313)</f>
        <v>503420.58623999998</v>
      </c>
      <c r="F45" s="1"/>
      <c r="G45" s="1"/>
      <c r="H45" s="1"/>
      <c r="I45" s="41">
        <f>(I44)*(0.295)</f>
        <v>427988.76120000001</v>
      </c>
      <c r="J45" s="41">
        <f>(J44)*(0.2892)</f>
        <v>253634.04518400002</v>
      </c>
      <c r="K45" s="41">
        <f>(K44)*(0.28)</f>
        <v>439075.72800000006</v>
      </c>
      <c r="L45" s="41">
        <f>(L44)*(0.306)</f>
        <v>237337.70346000002</v>
      </c>
      <c r="M45" s="41">
        <f>(M44)*(0.275)</f>
        <v>219459.24</v>
      </c>
      <c r="N45" s="20"/>
      <c r="O45" s="1"/>
      <c r="P45" s="9">
        <f>SUM((B45:O45))</f>
        <v>2497071.3485639999</v>
      </c>
      <c r="Q45" s="66">
        <f t="shared" si="1"/>
        <v>312133.91857049998</v>
      </c>
    </row>
    <row r="46" spans="1:17" x14ac:dyDescent="0.3">
      <c r="A46" s="9" t="s">
        <v>8</v>
      </c>
      <c r="B46" s="40">
        <f>(B40*304.5)</f>
        <v>12789</v>
      </c>
      <c r="C46" s="7" t="s">
        <v>69</v>
      </c>
      <c r="D46" s="40">
        <f>(D40*304.5)</f>
        <v>9135</v>
      </c>
      <c r="E46" s="40">
        <f>(E40*304.5)</f>
        <v>16747.5</v>
      </c>
      <c r="F46" s="7"/>
      <c r="G46" s="7"/>
      <c r="H46" s="7"/>
      <c r="I46" s="40">
        <f>(I40*304.5)</f>
        <v>19183.5</v>
      </c>
      <c r="J46" s="40">
        <f>(J40*304.5)</f>
        <v>12484.5</v>
      </c>
      <c r="K46" s="40">
        <f>(K40*304.5)</f>
        <v>24664.5</v>
      </c>
      <c r="L46" s="40">
        <f>(L40*304.5)</f>
        <v>8830.5</v>
      </c>
      <c r="M46" s="40">
        <f>(M40*304.5)</f>
        <v>13702.5</v>
      </c>
      <c r="N46" s="20"/>
      <c r="O46" s="7"/>
      <c r="P46" s="9">
        <f>SUM((B46:O46))</f>
        <v>117537</v>
      </c>
      <c r="Q46" s="66">
        <f t="shared" si="1"/>
        <v>14692.125</v>
      </c>
    </row>
    <row r="47" spans="1:17" x14ac:dyDescent="0.3">
      <c r="A47" s="9" t="s">
        <v>32</v>
      </c>
      <c r="B47" s="40">
        <f>(B45+B46)</f>
        <v>257144.00544000001</v>
      </c>
      <c r="C47" s="7" t="s">
        <v>69</v>
      </c>
      <c r="D47" s="40">
        <f>(D45+D46)</f>
        <v>180935.27903999996</v>
      </c>
      <c r="E47" s="40">
        <f>(E45+E46)</f>
        <v>520168.08623999998</v>
      </c>
      <c r="F47" s="7"/>
      <c r="G47" s="7"/>
      <c r="H47" s="7"/>
      <c r="I47" s="40">
        <f>(I45+I46)</f>
        <v>447172.26120000001</v>
      </c>
      <c r="J47" s="40">
        <f>(J45+J46)</f>
        <v>266118.54518400005</v>
      </c>
      <c r="K47" s="40">
        <f>(K45+K46)</f>
        <v>463740.22800000006</v>
      </c>
      <c r="L47" s="40">
        <f>(L45+L46)</f>
        <v>246168.20346000002</v>
      </c>
      <c r="M47" s="40">
        <f>(M45+M46)</f>
        <v>233161.74</v>
      </c>
      <c r="N47" s="20"/>
      <c r="O47" s="7"/>
      <c r="P47" s="9">
        <f>SUM((B47:O47))</f>
        <v>2614608.3485639999</v>
      </c>
      <c r="Q47" s="66">
        <f t="shared" si="1"/>
        <v>326826.04357049998</v>
      </c>
    </row>
    <row r="48" spans="1:17" x14ac:dyDescent="0.3">
      <c r="A48" s="9" t="s">
        <v>33</v>
      </c>
      <c r="B48" s="47">
        <f>(B47/B43)*100</f>
        <v>321.20516318576995</v>
      </c>
      <c r="C48" s="14">
        <v>0</v>
      </c>
      <c r="D48" s="47">
        <f>(D47/D43)*100</f>
        <v>192.26139799594085</v>
      </c>
      <c r="E48" s="47">
        <f>(E47/E43)*100</f>
        <v>422.51272102864846</v>
      </c>
      <c r="F48" s="14"/>
      <c r="G48" s="14"/>
      <c r="H48" s="14"/>
      <c r="I48" s="47">
        <f>(I47/I43)*100</f>
        <v>162.73354775317699</v>
      </c>
      <c r="J48" s="47">
        <f>(J47/J43)*100</f>
        <v>565.9086553620416</v>
      </c>
      <c r="K48" s="47">
        <f>(K47/K43)*100</f>
        <v>538.43268723919573</v>
      </c>
      <c r="L48" s="47">
        <f>(L47/L43)*100</f>
        <v>314.96629023631925</v>
      </c>
      <c r="M48" s="47">
        <f>(M47/M43)*100</f>
        <v>684.84327086882445</v>
      </c>
      <c r="O48" s="14"/>
      <c r="P48" s="9">
        <f>SUM((B48:O48))</f>
        <v>3202.8637336699176</v>
      </c>
      <c r="Q48" s="66">
        <f t="shared" si="1"/>
        <v>400.3579667087397</v>
      </c>
    </row>
    <row r="49" spans="1:17" ht="16.2" thickBot="1" x14ac:dyDescent="0.35">
      <c r="A49" s="11" t="s">
        <v>11</v>
      </c>
      <c r="B49" s="35">
        <f>+B48*0.01</f>
        <v>3.2120516318576997</v>
      </c>
      <c r="C49" s="21">
        <v>0</v>
      </c>
      <c r="D49" s="35">
        <f>+D48*0.01</f>
        <v>1.9226139799594086</v>
      </c>
      <c r="E49" s="35">
        <f>+E48*0.01</f>
        <v>4.2251272102864847</v>
      </c>
      <c r="F49" s="21"/>
      <c r="G49" s="21"/>
      <c r="H49" s="21"/>
      <c r="I49" s="35">
        <f>+I48*0.01</f>
        <v>1.6273354775317699</v>
      </c>
      <c r="J49" s="35">
        <f>+J48*0.01</f>
        <v>5.6590865536204165</v>
      </c>
      <c r="K49" s="35">
        <f>+K48*0.01</f>
        <v>5.3843268723919575</v>
      </c>
      <c r="L49" s="35">
        <f>+L48*0.01</f>
        <v>3.1496629023631928</v>
      </c>
      <c r="M49" s="35">
        <f>+M48*0.01</f>
        <v>6.8484327086882448</v>
      </c>
      <c r="N49" s="16"/>
      <c r="O49" s="21"/>
      <c r="P49" s="9">
        <f>SUM((B49:O49))</f>
        <v>32.028637336699177</v>
      </c>
      <c r="Q49" s="22">
        <f>SUM(P49/8)</f>
        <v>4.0035796670873971</v>
      </c>
    </row>
    <row r="50" spans="1:17" ht="15" thickTop="1" x14ac:dyDescent="0.3">
      <c r="B50" s="47"/>
      <c r="C50" s="14"/>
      <c r="D50" s="47"/>
      <c r="E50" s="47"/>
      <c r="F50" s="14"/>
      <c r="G50" s="14"/>
      <c r="H50" s="14"/>
      <c r="I50" s="47"/>
      <c r="J50" s="47"/>
      <c r="K50" s="47"/>
      <c r="L50" s="47"/>
      <c r="M50" s="47"/>
      <c r="O50" s="14"/>
      <c r="P50" s="9"/>
      <c r="Q50" s="5"/>
    </row>
    <row r="51" spans="1:17" x14ac:dyDescent="0.3">
      <c r="A51" s="9" t="s">
        <v>12</v>
      </c>
      <c r="B51">
        <f>(B41*B42*52)</f>
        <v>20413.952000000001</v>
      </c>
      <c r="C51" s="14">
        <v>0</v>
      </c>
      <c r="D51">
        <f>(D41*D42*52)</f>
        <v>20164.351999999999</v>
      </c>
      <c r="E51">
        <f>(E41*E42*52)</f>
        <v>29243.135999999999</v>
      </c>
      <c r="F51" s="14"/>
      <c r="G51" s="14"/>
      <c r="H51" s="14"/>
      <c r="I51">
        <f>(I41*I42*52)</f>
        <v>23028.720000000001</v>
      </c>
      <c r="J51">
        <f>(J41*J42*52)</f>
        <v>21390.720000000001</v>
      </c>
      <c r="K51">
        <f>(K41*K42*52)</f>
        <v>19359.600000000002</v>
      </c>
      <c r="L51">
        <f>(L41*L42*52)</f>
        <v>26745.29</v>
      </c>
      <c r="M51">
        <f>(M41*M42*52)</f>
        <v>17734.079999999998</v>
      </c>
      <c r="O51" s="14"/>
      <c r="P51" s="9">
        <f>SUM((B51:O51))</f>
        <v>178079.85</v>
      </c>
      <c r="Q51" s="5">
        <f>SUM(P51/8)</f>
        <v>22259.981250000001</v>
      </c>
    </row>
    <row r="52" spans="1:17" x14ac:dyDescent="0.3">
      <c r="A52" s="45" t="s">
        <v>147</v>
      </c>
      <c r="B52" s="44">
        <f>(B41*B42*52)-18350</f>
        <v>2063.9520000000011</v>
      </c>
      <c r="C52" s="14">
        <v>-21500</v>
      </c>
      <c r="D52" s="44">
        <f>(D41*D42*52)-18350</f>
        <v>1814.351999999999</v>
      </c>
      <c r="E52" s="44">
        <f>(E41*E42*52)-18350</f>
        <v>10893.135999999999</v>
      </c>
      <c r="F52" s="14"/>
      <c r="G52" s="14"/>
      <c r="H52" s="14"/>
      <c r="I52" s="44">
        <f>(I41*I42*52)-18350</f>
        <v>4678.7200000000012</v>
      </c>
      <c r="J52" s="44">
        <f>(J41*J42*52)-18350</f>
        <v>3040.7200000000012</v>
      </c>
      <c r="K52" s="44">
        <f>(K41*K42*52)-18350</f>
        <v>1009.6000000000022</v>
      </c>
      <c r="L52" s="44">
        <f>(L41*L42*52)-18350</f>
        <v>8395.2900000000009</v>
      </c>
      <c r="M52" s="44">
        <f>(M41*M42*52)-18350</f>
        <v>-615.92000000000189</v>
      </c>
      <c r="O52" s="14"/>
      <c r="P52" s="9">
        <f>SUM((B52:O52))</f>
        <v>9779.8500000000022</v>
      </c>
      <c r="Q52" s="5">
        <f>SUM(P52/8)</f>
        <v>1222.4812500000003</v>
      </c>
    </row>
    <row r="53" spans="1:17" x14ac:dyDescent="0.3">
      <c r="C53" s="14"/>
      <c r="F53" s="14"/>
      <c r="G53" s="14"/>
      <c r="H53" s="14"/>
      <c r="J53" s="14"/>
      <c r="K53" s="14"/>
      <c r="L53" s="14"/>
      <c r="O53" s="14"/>
      <c r="P53" s="9"/>
      <c r="Q53" s="5"/>
    </row>
    <row r="54" spans="1:17" x14ac:dyDescent="0.3">
      <c r="A54" s="11" t="s">
        <v>34</v>
      </c>
      <c r="C54" s="14"/>
      <c r="F54" s="14"/>
      <c r="G54" s="14"/>
      <c r="H54" s="14"/>
      <c r="J54" s="14"/>
      <c r="K54" s="14"/>
      <c r="L54" s="14"/>
      <c r="O54" s="14"/>
      <c r="P54" s="9"/>
      <c r="Q54" s="5"/>
    </row>
    <row r="55" spans="1:17" x14ac:dyDescent="0.3">
      <c r="A55" s="9" t="s">
        <v>35</v>
      </c>
      <c r="B55" s="36">
        <v>18</v>
      </c>
      <c r="C55" s="36">
        <v>54</v>
      </c>
      <c r="D55" s="36">
        <v>109</v>
      </c>
      <c r="E55" s="36">
        <v>89</v>
      </c>
      <c r="F55" s="36">
        <v>66</v>
      </c>
      <c r="G55" s="36">
        <v>175</v>
      </c>
      <c r="H55" s="36">
        <v>158</v>
      </c>
      <c r="I55" s="36">
        <v>75</v>
      </c>
      <c r="J55" s="36">
        <v>286</v>
      </c>
      <c r="K55" s="36">
        <v>71</v>
      </c>
      <c r="L55" s="36">
        <v>11</v>
      </c>
      <c r="M55" s="36">
        <v>53</v>
      </c>
      <c r="N55" s="36">
        <v>8</v>
      </c>
      <c r="O55" s="15"/>
      <c r="P55" s="9">
        <f>SUM((B55:O55))</f>
        <v>1173</v>
      </c>
      <c r="Q55" s="67">
        <f>SUM(P55/13)</f>
        <v>90.230769230769226</v>
      </c>
    </row>
    <row r="56" spans="1:17" x14ac:dyDescent="0.3">
      <c r="A56" s="9" t="s">
        <v>36</v>
      </c>
      <c r="B56" s="38">
        <v>5</v>
      </c>
      <c r="C56" s="38">
        <v>18</v>
      </c>
      <c r="D56" s="38">
        <v>62</v>
      </c>
      <c r="E56" s="38">
        <v>62</v>
      </c>
      <c r="F56" s="38">
        <v>34</v>
      </c>
      <c r="G56" s="38">
        <v>95</v>
      </c>
      <c r="H56" s="38">
        <v>127</v>
      </c>
      <c r="I56" s="38">
        <v>48</v>
      </c>
      <c r="J56" s="38">
        <v>106</v>
      </c>
      <c r="K56" s="38">
        <v>36</v>
      </c>
      <c r="L56" s="38">
        <v>5</v>
      </c>
      <c r="M56" s="38">
        <v>32</v>
      </c>
      <c r="N56" s="38">
        <v>2</v>
      </c>
      <c r="O56" s="15"/>
      <c r="P56" s="9">
        <f>SUM((B56:O56))</f>
        <v>632</v>
      </c>
      <c r="Q56" s="67">
        <f t="shared" ref="Q56:Q66" si="2">SUM(P56/13)</f>
        <v>48.615384615384613</v>
      </c>
    </row>
    <row r="57" spans="1:17" x14ac:dyDescent="0.3">
      <c r="A57" s="9" t="s">
        <v>37</v>
      </c>
      <c r="B57" s="38">
        <v>3</v>
      </c>
      <c r="C57" s="38">
        <v>10</v>
      </c>
      <c r="D57" s="38">
        <v>51</v>
      </c>
      <c r="E57" s="38">
        <v>39</v>
      </c>
      <c r="F57" s="38">
        <v>18</v>
      </c>
      <c r="G57" s="38">
        <v>70</v>
      </c>
      <c r="H57" s="38">
        <v>108</v>
      </c>
      <c r="I57" s="38">
        <v>30</v>
      </c>
      <c r="J57" s="38">
        <v>95</v>
      </c>
      <c r="K57" s="38">
        <v>26</v>
      </c>
      <c r="L57" s="38">
        <v>4</v>
      </c>
      <c r="M57" s="38">
        <v>27</v>
      </c>
      <c r="N57" s="38">
        <v>0</v>
      </c>
      <c r="O57" s="15"/>
      <c r="P57" s="9">
        <f>SUM((B57:O57))</f>
        <v>481</v>
      </c>
      <c r="Q57" s="67">
        <f t="shared" si="2"/>
        <v>37</v>
      </c>
    </row>
    <row r="58" spans="1:17" x14ac:dyDescent="0.3">
      <c r="A58" s="9" t="s">
        <v>38</v>
      </c>
      <c r="B58" s="48">
        <v>0.33329999999999999</v>
      </c>
      <c r="C58" s="48">
        <v>0</v>
      </c>
      <c r="D58" s="48">
        <v>0.18</v>
      </c>
      <c r="E58" s="48">
        <v>7.0000000000000007E-2</v>
      </c>
      <c r="F58" s="48">
        <v>0.22</v>
      </c>
      <c r="G58" s="48">
        <v>0.28570000000000001</v>
      </c>
      <c r="H58" s="48">
        <v>0.127</v>
      </c>
      <c r="I58" s="48">
        <v>3.3300000000000003E-2</v>
      </c>
      <c r="J58" s="48">
        <v>0.1</v>
      </c>
      <c r="K58" s="48">
        <v>0.30990000000000001</v>
      </c>
      <c r="L58" s="48">
        <v>0.18</v>
      </c>
      <c r="M58" s="48">
        <v>0.41</v>
      </c>
      <c r="N58" s="48">
        <v>0.625</v>
      </c>
      <c r="O58" s="25"/>
      <c r="P58" s="9">
        <f>SUM((B58:O58))</f>
        <v>2.8742000000000001</v>
      </c>
      <c r="Q58" s="67">
        <f t="shared" si="2"/>
        <v>0.2210923076923077</v>
      </c>
    </row>
    <row r="59" spans="1:17" x14ac:dyDescent="0.3">
      <c r="A59" s="9" t="s">
        <v>39</v>
      </c>
      <c r="B59" s="49">
        <v>16.559999999999999</v>
      </c>
      <c r="C59" s="49">
        <v>16.12</v>
      </c>
      <c r="D59" s="49">
        <v>17.829999999999998</v>
      </c>
      <c r="E59" s="49">
        <v>26.1</v>
      </c>
      <c r="F59" s="49">
        <v>21.02</v>
      </c>
      <c r="G59" s="49">
        <v>26.64</v>
      </c>
      <c r="H59" s="49">
        <v>22.11</v>
      </c>
      <c r="I59" s="49">
        <v>18.559999999999999</v>
      </c>
      <c r="J59" s="49">
        <v>17.93</v>
      </c>
      <c r="K59" s="49">
        <v>15.18</v>
      </c>
      <c r="L59" s="49">
        <v>20.57</v>
      </c>
      <c r="M59" s="49">
        <v>14.69</v>
      </c>
      <c r="N59" s="49">
        <v>0</v>
      </c>
      <c r="O59" s="17"/>
      <c r="P59" s="9">
        <f>SUM((B59:O59))</f>
        <v>233.31</v>
      </c>
      <c r="Q59" s="67">
        <f t="shared" si="2"/>
        <v>17.946923076923078</v>
      </c>
    </row>
    <row r="60" spans="1:17" x14ac:dyDescent="0.3">
      <c r="A60" s="9" t="s">
        <v>40</v>
      </c>
      <c r="B60" s="36">
        <v>40</v>
      </c>
      <c r="C60" s="36">
        <v>36.4</v>
      </c>
      <c r="D60" s="36">
        <v>35</v>
      </c>
      <c r="E60" s="36">
        <v>38.299999999999997</v>
      </c>
      <c r="F60" s="36">
        <v>33.61</v>
      </c>
      <c r="G60" s="36">
        <v>36</v>
      </c>
      <c r="H60" s="36">
        <v>35.799999999999997</v>
      </c>
      <c r="I60" s="36">
        <v>35</v>
      </c>
      <c r="J60" s="36">
        <v>36</v>
      </c>
      <c r="K60" s="36">
        <v>34</v>
      </c>
      <c r="L60" s="36">
        <v>38</v>
      </c>
      <c r="M60" s="36">
        <v>34.04</v>
      </c>
      <c r="N60" s="36">
        <v>0</v>
      </c>
      <c r="O60" s="15"/>
      <c r="P60" s="9">
        <f>SUM((B60:O60))</f>
        <v>432.15000000000003</v>
      </c>
      <c r="Q60" s="67">
        <f t="shared" si="2"/>
        <v>33.242307692307698</v>
      </c>
    </row>
    <row r="61" spans="1:17" x14ac:dyDescent="0.3">
      <c r="A61" s="9" t="s">
        <v>41</v>
      </c>
      <c r="B61" s="50">
        <v>122826</v>
      </c>
      <c r="C61" s="50">
        <v>220501</v>
      </c>
      <c r="D61" s="50">
        <v>694224</v>
      </c>
      <c r="E61" s="50">
        <v>176344</v>
      </c>
      <c r="F61" s="50">
        <v>154224.41</v>
      </c>
      <c r="G61" s="50">
        <v>367213</v>
      </c>
      <c r="H61" s="50">
        <v>791312</v>
      </c>
      <c r="I61" s="50">
        <v>347968.11</v>
      </c>
      <c r="J61" s="50">
        <f>1253608-246462</f>
        <v>1007146</v>
      </c>
      <c r="K61" s="50">
        <v>160598.26</v>
      </c>
      <c r="L61" s="50">
        <v>132202</v>
      </c>
      <c r="M61" s="50">
        <v>67000</v>
      </c>
      <c r="N61" s="50">
        <v>61445.58</v>
      </c>
      <c r="O61" s="27"/>
      <c r="P61" s="9">
        <f>SUM((B61:O61))</f>
        <v>4303004.3600000003</v>
      </c>
      <c r="Q61" s="67">
        <f t="shared" si="2"/>
        <v>331000.33538461541</v>
      </c>
    </row>
    <row r="62" spans="1:17" x14ac:dyDescent="0.3">
      <c r="A62" s="9" t="s">
        <v>42</v>
      </c>
      <c r="B62" s="40">
        <f>((B59*B60)*52)*B57</f>
        <v>103334.39999999999</v>
      </c>
      <c r="C62" s="40">
        <f>((C59*C60)*52)*C57</f>
        <v>305119.35999999999</v>
      </c>
      <c r="D62" s="40">
        <f>((D59*D60)*52)*D57</f>
        <v>1654980.5999999999</v>
      </c>
      <c r="E62" s="40">
        <f>((E59*E60)*52)*E57</f>
        <v>2027249.6400000001</v>
      </c>
      <c r="F62" s="40">
        <f>((F59*F60)*52)*F57</f>
        <v>661267.33919999993</v>
      </c>
      <c r="G62" s="40">
        <f>((G59*G60)*52)*G57</f>
        <v>3490905.6</v>
      </c>
      <c r="H62" s="40">
        <f>((H59*H60)*52)*H57</f>
        <v>4445277.4079999998</v>
      </c>
      <c r="I62" s="40">
        <f>((I59*I60)*52)*I57</f>
        <v>1013375.9999999999</v>
      </c>
      <c r="J62" s="40">
        <f>((J59*J60)*52)*J57</f>
        <v>3188671.1999999997</v>
      </c>
      <c r="K62" s="40">
        <f>((K59*K60)*52)*K57</f>
        <v>697794.24</v>
      </c>
      <c r="L62" s="40">
        <f>((L59*L60)*52)*L57</f>
        <v>162585.28</v>
      </c>
      <c r="M62" s="40">
        <f>((M59*M60)*52)*M57</f>
        <v>702066.83039999998</v>
      </c>
      <c r="N62" s="40">
        <f>((N59*N60)*52)*N57</f>
        <v>0</v>
      </c>
      <c r="O62" s="7"/>
      <c r="P62" s="9">
        <f>SUM((B62:O62))</f>
        <v>18452627.897600003</v>
      </c>
      <c r="Q62" s="67">
        <f t="shared" si="2"/>
        <v>1419432.9152000002</v>
      </c>
    </row>
    <row r="63" spans="1:17" x14ac:dyDescent="0.3">
      <c r="A63" s="9" t="s">
        <v>153</v>
      </c>
      <c r="B63" s="41">
        <f>(B62)*0.323</f>
        <v>33377.011200000001</v>
      </c>
      <c r="C63" s="41">
        <f>(C62)*0.315</f>
        <v>96112.598400000003</v>
      </c>
      <c r="D63" s="41">
        <f>(D62)*0.319</f>
        <v>527938.81140000001</v>
      </c>
      <c r="E63" s="41">
        <f>(E62)*0.347</f>
        <v>703455.62508000003</v>
      </c>
      <c r="F63" s="41">
        <f>(F62)*0.327</f>
        <v>216234.41991839997</v>
      </c>
      <c r="G63" s="41">
        <f>(G62)*0.345</f>
        <v>1204362.432</v>
      </c>
      <c r="H63" s="41">
        <f>(H62)*0.335</f>
        <v>1489167.9316799999</v>
      </c>
      <c r="I63" s="41">
        <f>(I62)*0.322</f>
        <v>326307.07199999999</v>
      </c>
      <c r="J63" s="41">
        <f>(J62)*0.3212</f>
        <v>1024201.1894399999</v>
      </c>
      <c r="K63" s="41">
        <f>(K62)*0.307</f>
        <v>214222.83168</v>
      </c>
      <c r="L63" s="41">
        <f>(L62)*0.334</f>
        <v>54303.483520000002</v>
      </c>
      <c r="M63" s="41">
        <f>(M62)*0.305</f>
        <v>214130.38327199998</v>
      </c>
      <c r="N63" s="41">
        <f>(N62)*0.275</f>
        <v>0</v>
      </c>
      <c r="O63" s="1"/>
      <c r="P63" s="9">
        <f>SUM((B63:O63))</f>
        <v>6103813.7895903988</v>
      </c>
      <c r="Q63" s="67">
        <f t="shared" si="2"/>
        <v>469524.1376607999</v>
      </c>
    </row>
    <row r="64" spans="1:17" x14ac:dyDescent="0.3">
      <c r="A64" s="9" t="s">
        <v>44</v>
      </c>
      <c r="B64" s="40">
        <f>((B57*B58)*6384)</f>
        <v>6383.3616000000002</v>
      </c>
      <c r="C64" s="40">
        <f>((C57*C58)*6384)</f>
        <v>0</v>
      </c>
      <c r="D64" s="40">
        <f>((D57*D58)*6384)</f>
        <v>58605.119999999995</v>
      </c>
      <c r="E64" s="40">
        <f>((E57*E58)*6384)</f>
        <v>17428.320000000003</v>
      </c>
      <c r="F64" s="40">
        <f>((F57*F58)*6384)</f>
        <v>25280.639999999999</v>
      </c>
      <c r="G64" s="40">
        <f>((G57*G58)*6384)</f>
        <v>127673.61600000001</v>
      </c>
      <c r="H64" s="40">
        <f>((H57*H58)*6384)</f>
        <v>87562.944000000003</v>
      </c>
      <c r="I64" s="40">
        <f>((I57*I58)*6384)</f>
        <v>6377.6160000000009</v>
      </c>
      <c r="J64" s="40">
        <f>((J57*J58)*6384)</f>
        <v>60648</v>
      </c>
      <c r="K64" s="40">
        <f>((K57*K58)*6384)</f>
        <v>51438.441599999998</v>
      </c>
      <c r="L64" s="40">
        <f>((L57*L58)*6384)</f>
        <v>4596.4799999999996</v>
      </c>
      <c r="M64" s="40">
        <f>((M57*M58)*6384)</f>
        <v>70670.87999999999</v>
      </c>
      <c r="N64" s="40">
        <f>((N57*N58)*6384)</f>
        <v>0</v>
      </c>
      <c r="O64" s="7"/>
      <c r="P64" s="9">
        <f>SUM((B64:O64))</f>
        <v>516665.4192</v>
      </c>
      <c r="Q64" s="67">
        <f t="shared" si="2"/>
        <v>39743.493784615384</v>
      </c>
    </row>
    <row r="65" spans="1:17" x14ac:dyDescent="0.3">
      <c r="A65" s="9" t="s">
        <v>45</v>
      </c>
      <c r="B65" s="40">
        <f>(B63+B64)</f>
        <v>39760.372799999997</v>
      </c>
      <c r="C65" s="40">
        <f>(C63+C64)</f>
        <v>96112.598400000003</v>
      </c>
      <c r="D65" s="40">
        <f>(D63+D64)</f>
        <v>586543.9314</v>
      </c>
      <c r="E65" s="40">
        <f>(E63+E64)</f>
        <v>720883.94507999998</v>
      </c>
      <c r="F65" s="40">
        <f>(F63+F64)</f>
        <v>241515.05991839996</v>
      </c>
      <c r="G65" s="40">
        <f>(G63+G64)</f>
        <v>1332036.048</v>
      </c>
      <c r="H65" s="40">
        <f>(H63+H64)</f>
        <v>1576730.8756799998</v>
      </c>
      <c r="I65" s="40">
        <f>(I63+I64)</f>
        <v>332684.68799999997</v>
      </c>
      <c r="J65" s="40">
        <f>(J63+J64)</f>
        <v>1084849.1894399999</v>
      </c>
      <c r="K65" s="40">
        <f>(K63+K64)</f>
        <v>265661.27328000002</v>
      </c>
      <c r="L65" s="40">
        <f>(L63+L64)</f>
        <v>58899.963520000005</v>
      </c>
      <c r="M65" s="40">
        <f>(M63+M64)</f>
        <v>284801.26327199995</v>
      </c>
      <c r="N65" s="40">
        <f>(N63+N64)</f>
        <v>0</v>
      </c>
      <c r="O65" s="7"/>
      <c r="P65" s="9">
        <f>SUM((B65:O65))</f>
        <v>6620479.2087903991</v>
      </c>
      <c r="Q65" s="67">
        <f t="shared" si="2"/>
        <v>509267.63144541532</v>
      </c>
    </row>
    <row r="66" spans="1:17" x14ac:dyDescent="0.3">
      <c r="A66" s="9" t="s">
        <v>46</v>
      </c>
      <c r="B66" s="47">
        <f>(B65/B61)*100</f>
        <v>32.371299887645939</v>
      </c>
      <c r="C66" s="47">
        <f>(C65/C61)*100</f>
        <v>43.588282320715102</v>
      </c>
      <c r="D66" s="47">
        <f>(D65/D61)*100</f>
        <v>84.489146356219308</v>
      </c>
      <c r="E66" s="47">
        <f>(E65/E61)*100</f>
        <v>408.794143877875</v>
      </c>
      <c r="F66" s="47">
        <f>(F65/F61)*100</f>
        <v>156.59976259166751</v>
      </c>
      <c r="G66" s="47">
        <f>(G65/G61)*100</f>
        <v>362.74207285689772</v>
      </c>
      <c r="H66" s="47">
        <f>(H65/H61)*100</f>
        <v>199.25527171077903</v>
      </c>
      <c r="I66" s="47">
        <f>(I65/I61)*100</f>
        <v>95.607809577722506</v>
      </c>
      <c r="J66" s="47">
        <f>(J65/J61)*100</f>
        <v>107.71518622324865</v>
      </c>
      <c r="K66" s="47">
        <f>(K65/K61)*100</f>
        <v>165.41977060025431</v>
      </c>
      <c r="L66" s="47">
        <f>(L65/L61)*100</f>
        <v>44.553004886461629</v>
      </c>
      <c r="M66" s="47">
        <f>(M65/M61)*100</f>
        <v>425.0765123462686</v>
      </c>
      <c r="N66" s="47">
        <f>(N65/N61)*100</f>
        <v>0</v>
      </c>
      <c r="O66" s="14"/>
      <c r="P66" s="9">
        <f>SUM((B66:O66))</f>
        <v>2126.212263235755</v>
      </c>
      <c r="Q66" s="67">
        <f t="shared" si="2"/>
        <v>163.55478947967347</v>
      </c>
    </row>
    <row r="67" spans="1:17" ht="16.2" thickBot="1" x14ac:dyDescent="0.35">
      <c r="A67" s="11" t="s">
        <v>47</v>
      </c>
      <c r="B67" s="35">
        <f>+B66*0.01</f>
        <v>0.32371299887645938</v>
      </c>
      <c r="C67" s="35">
        <f>+C66*0.01</f>
        <v>0.43588282320715105</v>
      </c>
      <c r="D67" s="35">
        <f>+D66*0.01</f>
        <v>0.84489146356219313</v>
      </c>
      <c r="E67" s="35">
        <f>+E66*0.01</f>
        <v>4.08794143877875</v>
      </c>
      <c r="F67" s="35">
        <f>+F66*0.01</f>
        <v>1.5659976259166752</v>
      </c>
      <c r="G67" s="35">
        <f>+G66*0.01</f>
        <v>3.6274207285689775</v>
      </c>
      <c r="H67" s="35">
        <f>+H66*0.01</f>
        <v>1.9925527171077904</v>
      </c>
      <c r="I67" s="35">
        <f>+I66*0.01</f>
        <v>0.95607809577722502</v>
      </c>
      <c r="J67" s="35">
        <f>+J66*0.01</f>
        <v>1.0771518622324865</v>
      </c>
      <c r="K67" s="35">
        <f>+K66*0.01</f>
        <v>1.6541977060025432</v>
      </c>
      <c r="L67" s="35">
        <f>+L66*0.01</f>
        <v>0.44553004886461628</v>
      </c>
      <c r="M67" s="35">
        <f>+M66*0.01</f>
        <v>4.2507651234626858</v>
      </c>
      <c r="N67" s="35">
        <f>+N66*0.01</f>
        <v>0</v>
      </c>
      <c r="O67" s="21"/>
      <c r="P67" s="9">
        <f>SUM((B67:O67))</f>
        <v>21.262122632357549</v>
      </c>
      <c r="Q67" s="12">
        <f>SUM(P67/13)</f>
        <v>1.6355478947967346</v>
      </c>
    </row>
    <row r="68" spans="1:17" ht="15" thickTop="1" x14ac:dyDescent="0.3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14"/>
      <c r="P68" s="9"/>
      <c r="Q68" s="5"/>
    </row>
    <row r="69" spans="1:17" x14ac:dyDescent="0.3">
      <c r="B69"/>
      <c r="C69"/>
      <c r="D69"/>
      <c r="E69"/>
      <c r="F69"/>
      <c r="G69"/>
      <c r="H69"/>
      <c r="I69"/>
      <c r="J69"/>
      <c r="K69"/>
      <c r="L69"/>
      <c r="M69"/>
      <c r="N69"/>
      <c r="P69" s="9"/>
      <c r="Q69" s="5"/>
    </row>
    <row r="70" spans="1:17" x14ac:dyDescent="0.3">
      <c r="A70" s="9" t="s">
        <v>12</v>
      </c>
      <c r="B70">
        <f>(B59*B60*52)</f>
        <v>34444.799999999996</v>
      </c>
      <c r="C70">
        <f>(C59*C60*52)</f>
        <v>30511.936000000002</v>
      </c>
      <c r="D70">
        <f>(D59*D60*52)</f>
        <v>32450.6</v>
      </c>
      <c r="E70">
        <f>(E59*E60*52)</f>
        <v>51980.76</v>
      </c>
      <c r="F70">
        <f>(F59*F60*52)</f>
        <v>36737.074399999998</v>
      </c>
      <c r="G70">
        <f>(G59*G60*52)</f>
        <v>49870.080000000002</v>
      </c>
      <c r="H70">
        <f>(H59*H60*52)</f>
        <v>41159.975999999995</v>
      </c>
      <c r="I70">
        <f>(I59*I60*52)</f>
        <v>33779.199999999997</v>
      </c>
      <c r="J70">
        <f>(J59*J60*52)</f>
        <v>33564.959999999999</v>
      </c>
      <c r="K70">
        <f>(K59*K60*52)</f>
        <v>26838.240000000002</v>
      </c>
      <c r="L70">
        <f>(L59*L60*52)</f>
        <v>40646.32</v>
      </c>
      <c r="M70">
        <f>(M59*M60*52)</f>
        <v>26002.475200000001</v>
      </c>
      <c r="N70">
        <f>(N59*N60*52)</f>
        <v>0</v>
      </c>
      <c r="O70" s="14"/>
      <c r="P70" s="9">
        <f>SUM((B70:O70))</f>
        <v>437986.42160000006</v>
      </c>
      <c r="Q70" s="12"/>
    </row>
    <row r="71" spans="1:17" x14ac:dyDescent="0.3">
      <c r="A71" s="45" t="s">
        <v>147</v>
      </c>
      <c r="B71" s="44">
        <f>(B59*B60*52)-18350</f>
        <v>16094.799999999996</v>
      </c>
      <c r="C71" s="44">
        <f>(C59*C60*52)-18350</f>
        <v>12161.936000000002</v>
      </c>
      <c r="D71" s="44">
        <f>(D59*D60*52)-18350</f>
        <v>14100.599999999999</v>
      </c>
      <c r="E71" s="44">
        <f>(E59*E60*52)-18350</f>
        <v>33630.76</v>
      </c>
      <c r="F71" s="44">
        <f>(F59*F60*52)-18350</f>
        <v>18387.074399999998</v>
      </c>
      <c r="G71" s="44">
        <f>(G59*G60*52)-18350</f>
        <v>31520.080000000002</v>
      </c>
      <c r="H71" s="44">
        <f>(H59*H60*52)-18350</f>
        <v>22809.975999999995</v>
      </c>
      <c r="I71" s="44">
        <f>(I59*I60*52)-18350</f>
        <v>15429.199999999997</v>
      </c>
      <c r="J71" s="44">
        <f>(J59*J60*52)-18350</f>
        <v>15214.96</v>
      </c>
      <c r="K71" s="44">
        <f>(K59*K60*52)-18350</f>
        <v>8488.2400000000016</v>
      </c>
      <c r="L71" s="44">
        <f>(L59*L60*52)-18350</f>
        <v>22296.32</v>
      </c>
      <c r="M71" s="44">
        <f>(M59*M60*52)-18350</f>
        <v>7652.4752000000008</v>
      </c>
      <c r="N71" s="44">
        <f>(N59*N60*52)-18350</f>
        <v>-18350</v>
      </c>
      <c r="O71" s="14"/>
      <c r="P71" s="9">
        <f>SUM((B71:O71))</f>
        <v>199436.4216</v>
      </c>
      <c r="Q71" s="5"/>
    </row>
    <row r="72" spans="1:17" x14ac:dyDescent="0.3">
      <c r="C72" s="14"/>
      <c r="F72" s="14"/>
      <c r="G72" s="14"/>
      <c r="H72" s="14"/>
      <c r="J72" s="14"/>
      <c r="K72" s="14"/>
      <c r="L72" s="14"/>
      <c r="O72" s="14"/>
      <c r="P72" s="9"/>
      <c r="Q72" s="5"/>
    </row>
    <row r="73" spans="1:17" x14ac:dyDescent="0.3">
      <c r="A73" s="11" t="s">
        <v>48</v>
      </c>
      <c r="C73" s="14"/>
      <c r="F73" s="14"/>
      <c r="G73" s="14"/>
      <c r="H73" s="14"/>
      <c r="J73" s="14"/>
      <c r="K73" s="14"/>
      <c r="L73" s="14"/>
      <c r="O73" s="14"/>
      <c r="P73" s="9"/>
      <c r="Q73" s="5"/>
    </row>
    <row r="74" spans="1:17" x14ac:dyDescent="0.3">
      <c r="A74" s="9" t="s">
        <v>49</v>
      </c>
      <c r="B74" s="36">
        <v>46</v>
      </c>
      <c r="C74" s="36">
        <v>66</v>
      </c>
      <c r="D74" s="36">
        <v>121</v>
      </c>
      <c r="E74" s="36">
        <v>87</v>
      </c>
      <c r="F74" s="36">
        <v>57</v>
      </c>
      <c r="G74" s="15"/>
      <c r="H74" s="36">
        <v>71</v>
      </c>
      <c r="I74" s="36">
        <v>66</v>
      </c>
      <c r="J74" s="36">
        <v>204</v>
      </c>
      <c r="K74" s="36">
        <v>82</v>
      </c>
      <c r="L74" s="36">
        <v>20</v>
      </c>
      <c r="M74" s="36">
        <v>102</v>
      </c>
      <c r="N74" s="36">
        <v>10</v>
      </c>
      <c r="O74" s="15"/>
      <c r="P74" s="9">
        <f>SUM((B74:O74))</f>
        <v>932</v>
      </c>
      <c r="Q74" s="67">
        <f>SUM(P74/12)</f>
        <v>77.666666666666671</v>
      </c>
    </row>
    <row r="75" spans="1:17" x14ac:dyDescent="0.3">
      <c r="A75" s="9" t="s">
        <v>50</v>
      </c>
      <c r="B75" s="38">
        <v>29</v>
      </c>
      <c r="C75" s="38">
        <v>27</v>
      </c>
      <c r="D75" s="38">
        <v>60</v>
      </c>
      <c r="E75" s="38">
        <v>14</v>
      </c>
      <c r="F75" s="38">
        <v>18</v>
      </c>
      <c r="G75" s="15"/>
      <c r="H75" s="38">
        <v>66</v>
      </c>
      <c r="I75" s="38">
        <v>25</v>
      </c>
      <c r="J75" s="38">
        <v>71</v>
      </c>
      <c r="K75" s="38">
        <v>31</v>
      </c>
      <c r="L75" s="38">
        <v>11</v>
      </c>
      <c r="M75" s="38">
        <v>45</v>
      </c>
      <c r="N75" s="38">
        <v>5</v>
      </c>
      <c r="O75" s="15"/>
      <c r="P75" s="9">
        <f>SUM((B75:O75))</f>
        <v>402</v>
      </c>
      <c r="Q75" s="67">
        <f t="shared" ref="Q75:Q85" si="3">SUM(P75/12)</f>
        <v>33.5</v>
      </c>
    </row>
    <row r="76" spans="1:17" x14ac:dyDescent="0.3">
      <c r="A76" s="9" t="s">
        <v>51</v>
      </c>
      <c r="B76" s="38">
        <v>21</v>
      </c>
      <c r="C76" s="38">
        <v>24</v>
      </c>
      <c r="D76" s="38">
        <v>34</v>
      </c>
      <c r="E76" s="38">
        <v>12</v>
      </c>
      <c r="F76" s="38">
        <v>10</v>
      </c>
      <c r="G76" s="15"/>
      <c r="H76" s="38">
        <v>47</v>
      </c>
      <c r="I76" s="38">
        <v>14</v>
      </c>
      <c r="J76" s="38">
        <v>59</v>
      </c>
      <c r="K76" s="38">
        <v>20</v>
      </c>
      <c r="L76" s="38">
        <v>1</v>
      </c>
      <c r="M76" s="38">
        <v>29</v>
      </c>
      <c r="N76" s="38">
        <v>1</v>
      </c>
      <c r="O76" s="15"/>
      <c r="P76" s="9">
        <f>SUM((B76:O76))</f>
        <v>272</v>
      </c>
      <c r="Q76" s="67">
        <f t="shared" si="3"/>
        <v>22.666666666666668</v>
      </c>
    </row>
    <row r="77" spans="1:17" x14ac:dyDescent="0.3">
      <c r="A77" s="9" t="s">
        <v>52</v>
      </c>
      <c r="B77" s="48">
        <v>0.23810000000000001</v>
      </c>
      <c r="C77" s="48">
        <v>0.28999999999999998</v>
      </c>
      <c r="D77" s="48">
        <v>0.21</v>
      </c>
      <c r="E77" s="48">
        <v>0.115</v>
      </c>
      <c r="F77" s="48">
        <v>0.6</v>
      </c>
      <c r="G77" s="25"/>
      <c r="H77" s="48">
        <v>0.14000000000000001</v>
      </c>
      <c r="I77" s="48">
        <v>0.1429</v>
      </c>
      <c r="J77" s="48">
        <v>7.0000000000000007E-2</v>
      </c>
      <c r="K77" s="48">
        <v>0.1951</v>
      </c>
      <c r="L77" s="48">
        <v>0</v>
      </c>
      <c r="M77" s="48">
        <v>0.11</v>
      </c>
      <c r="N77" s="48">
        <v>0</v>
      </c>
      <c r="O77" s="25"/>
      <c r="P77" s="9">
        <f>SUM((B77:O77))</f>
        <v>2.1111</v>
      </c>
      <c r="Q77" s="67">
        <f t="shared" si="3"/>
        <v>0.175925</v>
      </c>
    </row>
    <row r="78" spans="1:17" x14ac:dyDescent="0.3">
      <c r="A78" s="9" t="s">
        <v>53</v>
      </c>
      <c r="B78" s="36">
        <v>14.17</v>
      </c>
      <c r="C78" s="36">
        <v>13.19</v>
      </c>
      <c r="D78" s="36">
        <v>13.27</v>
      </c>
      <c r="E78" s="36">
        <v>14.08</v>
      </c>
      <c r="F78" s="36">
        <v>12.75</v>
      </c>
      <c r="G78" s="15"/>
      <c r="H78" s="36">
        <v>14.38</v>
      </c>
      <c r="I78" s="36">
        <v>13.31</v>
      </c>
      <c r="J78" s="36">
        <v>14.02</v>
      </c>
      <c r="K78" s="36">
        <v>12.96</v>
      </c>
      <c r="L78" s="36">
        <v>22</v>
      </c>
      <c r="M78" s="36">
        <v>14.11</v>
      </c>
      <c r="N78" s="36">
        <v>19.43</v>
      </c>
      <c r="O78" s="15"/>
      <c r="P78" s="9">
        <f>SUM((B78:O78))</f>
        <v>177.67000000000002</v>
      </c>
      <c r="Q78" s="67">
        <f t="shared" si="3"/>
        <v>14.805833333333334</v>
      </c>
    </row>
    <row r="79" spans="1:17" x14ac:dyDescent="0.3">
      <c r="A79" s="9" t="s">
        <v>54</v>
      </c>
      <c r="B79" s="36">
        <v>39.049999999999997</v>
      </c>
      <c r="C79" s="36">
        <v>35.78</v>
      </c>
      <c r="D79" s="36">
        <v>33</v>
      </c>
      <c r="E79" s="36">
        <v>28.9</v>
      </c>
      <c r="F79" s="36">
        <v>30</v>
      </c>
      <c r="G79" s="15"/>
      <c r="H79" s="36">
        <v>35.4</v>
      </c>
      <c r="I79" s="36">
        <v>34</v>
      </c>
      <c r="J79" s="36">
        <v>33</v>
      </c>
      <c r="K79" s="36">
        <v>33</v>
      </c>
      <c r="L79" s="36">
        <v>20</v>
      </c>
      <c r="M79" s="36">
        <v>35.03</v>
      </c>
      <c r="N79" s="36">
        <v>40</v>
      </c>
      <c r="O79" s="15"/>
      <c r="P79" s="9">
        <f>SUM((B79:O79))</f>
        <v>397.15999999999997</v>
      </c>
      <c r="Q79" s="67">
        <f t="shared" si="3"/>
        <v>33.096666666666664</v>
      </c>
    </row>
    <row r="80" spans="1:17" x14ac:dyDescent="0.3">
      <c r="A80" s="9" t="s">
        <v>55</v>
      </c>
      <c r="B80" s="52">
        <v>203120</v>
      </c>
      <c r="C80" s="52">
        <v>342347</v>
      </c>
      <c r="D80" s="52">
        <v>547032</v>
      </c>
      <c r="E80" s="52">
        <v>174465</v>
      </c>
      <c r="F80" s="52">
        <v>249348.94</v>
      </c>
      <c r="G80" s="1"/>
      <c r="H80" s="52">
        <v>606750</v>
      </c>
      <c r="I80" s="52">
        <v>310665.81</v>
      </c>
      <c r="J80" s="52">
        <f>20532+18147+10508+15625+25458+10640+18111+15993+46958</f>
        <v>181972</v>
      </c>
      <c r="K80" s="52">
        <v>270397.72000000003</v>
      </c>
      <c r="L80" s="52">
        <v>118432</v>
      </c>
      <c r="M80" s="52">
        <v>283880</v>
      </c>
      <c r="N80" s="52">
        <v>85390</v>
      </c>
      <c r="O80" s="1"/>
      <c r="P80" s="9">
        <f>SUM((B80:O80))</f>
        <v>3373800.47</v>
      </c>
      <c r="Q80" s="67">
        <f t="shared" si="3"/>
        <v>281150.03916666668</v>
      </c>
    </row>
    <row r="81" spans="1:17" x14ac:dyDescent="0.3">
      <c r="A81" s="9" t="s">
        <v>56</v>
      </c>
      <c r="B81" s="40">
        <f>((B78*B79)*52)*B76</f>
        <v>604245.64199999999</v>
      </c>
      <c r="C81" s="40">
        <f>((C78*C79)*52)*C76</f>
        <v>588978.87360000005</v>
      </c>
      <c r="D81" s="40">
        <f>((D78*D79)*52)*D76</f>
        <v>774224.88</v>
      </c>
      <c r="E81" s="40">
        <f>((E78*E79)*52)*E76</f>
        <v>253913.08799999999</v>
      </c>
      <c r="F81" s="40">
        <f>((F78*F79)*52)*F76</f>
        <v>198900</v>
      </c>
      <c r="G81" s="7"/>
      <c r="H81" s="40">
        <f>((H78*H79)*52)*H76</f>
        <v>1244123.088</v>
      </c>
      <c r="I81" s="40">
        <f>((I78*I79)*52)*I76</f>
        <v>329449.12</v>
      </c>
      <c r="J81" s="40">
        <f>((J78*J79)*52)*J76</f>
        <v>1419440.88</v>
      </c>
      <c r="K81" s="40">
        <f>((K78*K79)*52)*K76</f>
        <v>444787.20000000001</v>
      </c>
      <c r="L81" s="40">
        <f>((L78*L79)*52)*L76</f>
        <v>22880</v>
      </c>
      <c r="M81" s="40">
        <f>((M78*M79)*52)*M76</f>
        <v>745364.13639999996</v>
      </c>
      <c r="N81" s="40">
        <f>((N78*N79)*52)*N76</f>
        <v>40414.400000000001</v>
      </c>
      <c r="O81" s="7"/>
      <c r="P81" s="9">
        <f>SUM((B81:O81))</f>
        <v>6666721.3080000002</v>
      </c>
      <c r="Q81" s="67">
        <f t="shared" si="3"/>
        <v>555560.10900000005</v>
      </c>
    </row>
    <row r="82" spans="1:17" x14ac:dyDescent="0.3">
      <c r="A82" s="9" t="s">
        <v>153</v>
      </c>
      <c r="B82" s="41">
        <f>(B81)*0.311</f>
        <v>187920.39466200001</v>
      </c>
      <c r="C82" s="41">
        <f>(C81)*0.3</f>
        <v>176693.66208000001</v>
      </c>
      <c r="D82" s="41">
        <f>(D81)*0.294</f>
        <v>227622.11471999998</v>
      </c>
      <c r="E82" s="41">
        <f>(E81)*0.288</f>
        <v>73126.969343999997</v>
      </c>
      <c r="F82" s="41">
        <f>(F81)*0.283</f>
        <v>56288.7</v>
      </c>
      <c r="G82" s="1"/>
      <c r="H82" s="41">
        <f>(H81)*0.306</f>
        <v>380701.66492800001</v>
      </c>
      <c r="I82" s="41">
        <f>(I81)*0.297</f>
        <v>97846.38863999999</v>
      </c>
      <c r="J82" s="41">
        <f>(J81)*0.2988</f>
        <v>424128.93494399998</v>
      </c>
      <c r="K82" s="41">
        <f>(K81)*0.292</f>
        <v>129877.8624</v>
      </c>
      <c r="L82" s="41">
        <f>(L81)*0.295</f>
        <v>6749.5999999999995</v>
      </c>
      <c r="M82" s="41">
        <f>(M81)*0.304</f>
        <v>226590.69746559998</v>
      </c>
      <c r="N82" s="41">
        <f>(N81)*0.334</f>
        <v>13498.409600000001</v>
      </c>
      <c r="O82" s="1"/>
      <c r="P82" s="9">
        <f>SUM((B82:O82))</f>
        <v>2001045.3987836</v>
      </c>
      <c r="Q82" s="67">
        <f t="shared" si="3"/>
        <v>166753.78323196666</v>
      </c>
    </row>
    <row r="83" spans="1:17" x14ac:dyDescent="0.3">
      <c r="A83" s="9" t="s">
        <v>44</v>
      </c>
      <c r="B83" s="40">
        <f>((B76*B77)*6384)</f>
        <v>31920.6384</v>
      </c>
      <c r="C83" s="40">
        <f>((C76*C77)*6384)</f>
        <v>44432.639999999992</v>
      </c>
      <c r="D83" s="40">
        <f>((D76*D77)*6384)</f>
        <v>45581.759999999995</v>
      </c>
      <c r="E83" s="40">
        <f>((E76*E77)*6384)</f>
        <v>8809.92</v>
      </c>
      <c r="F83" s="40">
        <f>((F76*F77)*6384)</f>
        <v>38304</v>
      </c>
      <c r="G83" s="7"/>
      <c r="H83" s="40">
        <f>((H76*H77)*6384)</f>
        <v>42006.720000000008</v>
      </c>
      <c r="I83" s="40">
        <f>((I76*I77)*6384)</f>
        <v>12771.830399999999</v>
      </c>
      <c r="J83" s="40">
        <f>((J76*J77)*6384)</f>
        <v>26365.920000000006</v>
      </c>
      <c r="K83" s="40">
        <f>((K76*K77)*6384)</f>
        <v>24910.368000000002</v>
      </c>
      <c r="L83" s="40">
        <f>((L76*L77)*6384)</f>
        <v>0</v>
      </c>
      <c r="M83" s="40">
        <f>((M76*M77)*6384)</f>
        <v>20364.96</v>
      </c>
      <c r="N83" s="40">
        <f>((N76*N77)*6384)</f>
        <v>0</v>
      </c>
      <c r="O83" s="7"/>
      <c r="P83" s="9">
        <f>SUM((B83:O83))</f>
        <v>295468.75680000003</v>
      </c>
      <c r="Q83" s="67">
        <f t="shared" si="3"/>
        <v>24622.396400000001</v>
      </c>
    </row>
    <row r="84" spans="1:17" x14ac:dyDescent="0.3">
      <c r="A84" s="9" t="s">
        <v>57</v>
      </c>
      <c r="B84" s="40">
        <f>(B82+B83)</f>
        <v>219841.033062</v>
      </c>
      <c r="C84" s="40">
        <f>(C82+C83)</f>
        <v>221126.30207999999</v>
      </c>
      <c r="D84" s="40">
        <f>(D82+D83)</f>
        <v>273203.87471999996</v>
      </c>
      <c r="E84" s="40">
        <f>(E82+E83)</f>
        <v>81936.889343999996</v>
      </c>
      <c r="F84" s="40">
        <f>(F82+F83)</f>
        <v>94592.7</v>
      </c>
      <c r="G84" s="7"/>
      <c r="H84" s="40">
        <f>(H82+H83)</f>
        <v>422708.38492800004</v>
      </c>
      <c r="I84" s="40">
        <f>(I82+I83)</f>
        <v>110618.21904</v>
      </c>
      <c r="J84" s="40">
        <f>(J82+J83)</f>
        <v>450494.85494399996</v>
      </c>
      <c r="K84" s="40">
        <f>(K82+K83)</f>
        <v>154788.2304</v>
      </c>
      <c r="L84" s="40">
        <f>(L82+L83)</f>
        <v>6749.5999999999995</v>
      </c>
      <c r="M84" s="40">
        <f>(M82+M83)</f>
        <v>246955.65746559997</v>
      </c>
      <c r="N84" s="40">
        <f>(N82+N83)</f>
        <v>13498.409600000001</v>
      </c>
      <c r="O84" s="7"/>
      <c r="P84" s="9">
        <f>SUM((B84:O84))</f>
        <v>2296514.1555836</v>
      </c>
      <c r="Q84" s="67">
        <f t="shared" si="3"/>
        <v>191376.17963196666</v>
      </c>
    </row>
    <row r="85" spans="1:17" x14ac:dyDescent="0.3">
      <c r="A85" s="9" t="s">
        <v>58</v>
      </c>
      <c r="B85" s="47">
        <f>(B84/B80)*100</f>
        <v>108.23209583595903</v>
      </c>
      <c r="C85" s="47">
        <f>(C84/C80)*100</f>
        <v>64.591277878877278</v>
      </c>
      <c r="D85" s="47">
        <f>(D84/D80)*100</f>
        <v>49.942942043609875</v>
      </c>
      <c r="E85" s="47">
        <f>(E84/E80)*100</f>
        <v>46.9646572917204</v>
      </c>
      <c r="F85" s="47">
        <f>(F84/F80)*100</f>
        <v>37.935874120820408</v>
      </c>
      <c r="G85" s="14"/>
      <c r="H85" s="47">
        <f>(H84/H80)*100</f>
        <v>69.667636576514226</v>
      </c>
      <c r="I85" s="47">
        <f>(I84/I80)*100</f>
        <v>35.606821053143889</v>
      </c>
      <c r="J85" s="47">
        <f>(J84/J80)*100</f>
        <v>247.56273214780293</v>
      </c>
      <c r="K85" s="47">
        <f>(K84/K80)*100</f>
        <v>57.244650731522441</v>
      </c>
      <c r="L85" s="47">
        <f>(L84/L80)*100</f>
        <v>5.6991353688192374</v>
      </c>
      <c r="M85" s="47">
        <f>(M84/M80)*100</f>
        <v>86.992975012540498</v>
      </c>
      <c r="N85" s="47">
        <f>(N84/N80)*100</f>
        <v>15.807951282351565</v>
      </c>
      <c r="O85" s="14"/>
      <c r="P85" s="9">
        <f>SUM((B85:O85))</f>
        <v>826.24874934368188</v>
      </c>
      <c r="Q85" s="67">
        <f t="shared" si="3"/>
        <v>68.854062445306823</v>
      </c>
    </row>
    <row r="86" spans="1:17" ht="16.2" thickBot="1" x14ac:dyDescent="0.35">
      <c r="A86" s="11" t="s">
        <v>11</v>
      </c>
      <c r="B86" s="35">
        <f>+B85*0.01</f>
        <v>1.0823209583595903</v>
      </c>
      <c r="C86" s="35">
        <f>+C85*0.01</f>
        <v>0.64591277878877285</v>
      </c>
      <c r="D86" s="35">
        <f>+D85*0.01</f>
        <v>0.49942942043609878</v>
      </c>
      <c r="E86" s="35">
        <f>+E85*0.01</f>
        <v>0.46964657291720402</v>
      </c>
      <c r="F86" s="35">
        <f>+F85*0.01</f>
        <v>0.37935874120820406</v>
      </c>
      <c r="G86" s="21"/>
      <c r="H86" s="35">
        <f>+H85*0.01</f>
        <v>0.69667636576514225</v>
      </c>
      <c r="I86" s="35">
        <f>+I85*0.01</f>
        <v>0.35606821053143889</v>
      </c>
      <c r="J86" s="35">
        <f>+J85*0.01</f>
        <v>2.4756273214780293</v>
      </c>
      <c r="K86" s="35">
        <f>+K85*0.01</f>
        <v>0.5724465073152244</v>
      </c>
      <c r="L86" s="35">
        <f>+L85*0.01</f>
        <v>5.6991353688192373E-2</v>
      </c>
      <c r="M86" s="35">
        <f>+M85*0.01</f>
        <v>0.86992975012540497</v>
      </c>
      <c r="N86" s="35">
        <f>+N85*0.01</f>
        <v>0.15807951282351565</v>
      </c>
      <c r="O86" s="21"/>
      <c r="P86" s="9">
        <f>SUM((B86:O86))</f>
        <v>8.2624874934368187</v>
      </c>
      <c r="Q86" s="13">
        <f>SUM(P86/12)</f>
        <v>0.68854062445306818</v>
      </c>
    </row>
    <row r="87" spans="1:17" ht="15" thickTop="1" x14ac:dyDescent="0.3">
      <c r="B87" s="47"/>
      <c r="C87" s="47"/>
      <c r="D87" s="47"/>
      <c r="E87" s="47"/>
      <c r="F87" s="47"/>
      <c r="G87" s="14"/>
      <c r="H87" s="47"/>
      <c r="I87" s="47"/>
      <c r="J87" s="47"/>
      <c r="K87" s="47"/>
      <c r="L87" s="47"/>
      <c r="M87" s="47"/>
      <c r="N87" s="47"/>
      <c r="O87" s="14"/>
      <c r="P87" s="9"/>
      <c r="Q87" s="5"/>
    </row>
    <row r="88" spans="1:17" x14ac:dyDescent="0.3">
      <c r="A88" s="9" t="s">
        <v>12</v>
      </c>
      <c r="B88">
        <f>(B78*B79*52)</f>
        <v>28773.601999999999</v>
      </c>
      <c r="C88">
        <f>(C78*C79*52)</f>
        <v>24540.786400000001</v>
      </c>
      <c r="D88">
        <f>(D78*D79*52)</f>
        <v>22771.32</v>
      </c>
      <c r="E88">
        <f>(E78*E79*52)</f>
        <v>21159.423999999999</v>
      </c>
      <c r="F88">
        <f>(F78*F79*52)</f>
        <v>19890</v>
      </c>
      <c r="G88" s="14"/>
      <c r="H88">
        <f>(H78*H79*52)</f>
        <v>26470.704000000002</v>
      </c>
      <c r="I88">
        <f>(I78*I79*52)</f>
        <v>23532.080000000002</v>
      </c>
      <c r="J88">
        <f>(J78*J79*52)</f>
        <v>24058.32</v>
      </c>
      <c r="K88">
        <f>(K78*K79*52)</f>
        <v>22239.360000000001</v>
      </c>
      <c r="L88">
        <f>(L78*L79*52)</f>
        <v>22880</v>
      </c>
      <c r="M88">
        <f>(M78*M79*52)</f>
        <v>25702.211599999999</v>
      </c>
      <c r="N88">
        <f>(N78*N79*52)</f>
        <v>40414.400000000001</v>
      </c>
      <c r="O88" s="14"/>
      <c r="P88" s="9">
        <f>SUM((B88:O88))</f>
        <v>302432.20799999998</v>
      </c>
      <c r="Q88" s="5"/>
    </row>
    <row r="89" spans="1:17" x14ac:dyDescent="0.3">
      <c r="A89" s="45" t="s">
        <v>147</v>
      </c>
      <c r="B89" s="44">
        <f>(B78*B79*52)-18350</f>
        <v>10423.601999999999</v>
      </c>
      <c r="C89" s="44">
        <f>(C78*C79*52)-18350</f>
        <v>6190.7864000000009</v>
      </c>
      <c r="D89" s="44">
        <f>(D78*D79*52)-18350</f>
        <v>4421.32</v>
      </c>
      <c r="E89" s="44">
        <f>(E78*E79*52)-18350</f>
        <v>2809.4239999999991</v>
      </c>
      <c r="F89" s="44">
        <f>(F78*F79*52)-18350</f>
        <v>1540</v>
      </c>
      <c r="G89" s="14"/>
      <c r="H89" s="44">
        <f>(H78*H79*52)-18350</f>
        <v>8120.7040000000015</v>
      </c>
      <c r="I89" s="44">
        <f>(I78*I79*52)-18350</f>
        <v>5182.0800000000017</v>
      </c>
      <c r="J89" s="44">
        <f>(J78*J79*52)-18350</f>
        <v>5708.32</v>
      </c>
      <c r="K89" s="44">
        <f>(K78*K79*52)-18350</f>
        <v>3889.3600000000006</v>
      </c>
      <c r="L89" s="44">
        <f>(L78*L79*52)-18350</f>
        <v>4530</v>
      </c>
      <c r="M89" s="44">
        <f>(M78*M79*52)-18350</f>
        <v>7352.2115999999987</v>
      </c>
      <c r="N89" s="44">
        <f>(N78*N79*52)-18350</f>
        <v>22064.400000000001</v>
      </c>
      <c r="O89" s="14"/>
      <c r="P89" s="9">
        <f>SUM((B89:O89))</f>
        <v>82232.208000000013</v>
      </c>
      <c r="Q89" s="5"/>
    </row>
    <row r="90" spans="1:17" x14ac:dyDescent="0.3">
      <c r="C90" s="14"/>
      <c r="F90" s="14"/>
      <c r="G90" s="14"/>
      <c r="H90" s="14"/>
      <c r="J90" s="14"/>
      <c r="K90" s="14"/>
      <c r="L90" s="14"/>
      <c r="O90" s="14"/>
      <c r="P90" s="9"/>
      <c r="Q90" s="5"/>
    </row>
    <row r="91" spans="1:17" x14ac:dyDescent="0.3">
      <c r="A91" s="11" t="s">
        <v>59</v>
      </c>
      <c r="C91" s="14"/>
      <c r="F91" s="14"/>
      <c r="G91" s="14"/>
      <c r="H91" s="14"/>
      <c r="J91" s="14"/>
      <c r="K91" s="14"/>
      <c r="L91" s="14"/>
      <c r="O91" s="14"/>
      <c r="P91" s="9"/>
      <c r="Q91" s="5"/>
    </row>
    <row r="92" spans="1:17" x14ac:dyDescent="0.3">
      <c r="A92" s="9" t="s">
        <v>60</v>
      </c>
      <c r="B92" s="36">
        <v>111</v>
      </c>
      <c r="C92" s="36">
        <v>72</v>
      </c>
      <c r="D92" s="36">
        <v>246</v>
      </c>
      <c r="E92" s="36">
        <v>169</v>
      </c>
      <c r="F92" s="36">
        <v>24</v>
      </c>
      <c r="G92" s="36">
        <v>464</v>
      </c>
      <c r="H92" s="36">
        <v>202</v>
      </c>
      <c r="I92" s="36">
        <v>105</v>
      </c>
      <c r="J92" s="36">
        <v>164</v>
      </c>
      <c r="K92" s="36">
        <v>145</v>
      </c>
      <c r="L92" s="36">
        <v>43</v>
      </c>
      <c r="M92" s="36">
        <v>168</v>
      </c>
      <c r="N92" s="36">
        <v>4</v>
      </c>
      <c r="O92" s="15"/>
      <c r="P92" s="9">
        <f>SUM((B92:O92))</f>
        <v>1917</v>
      </c>
      <c r="Q92" s="67">
        <f>SUM(P92/13)</f>
        <v>147.46153846153845</v>
      </c>
    </row>
    <row r="93" spans="1:17" x14ac:dyDescent="0.3">
      <c r="A93" s="9" t="s">
        <v>61</v>
      </c>
      <c r="B93" s="36">
        <v>40</v>
      </c>
      <c r="C93" s="36">
        <v>24</v>
      </c>
      <c r="D93" s="36">
        <v>161</v>
      </c>
      <c r="E93" s="36">
        <v>119</v>
      </c>
      <c r="F93" s="36">
        <v>11</v>
      </c>
      <c r="G93" s="36">
        <v>273</v>
      </c>
      <c r="H93" s="36">
        <v>178</v>
      </c>
      <c r="I93" s="36">
        <v>68</v>
      </c>
      <c r="J93" s="36">
        <v>89</v>
      </c>
      <c r="K93" s="36">
        <v>77</v>
      </c>
      <c r="L93" s="36">
        <v>29</v>
      </c>
      <c r="M93" s="36">
        <v>67</v>
      </c>
      <c r="N93" s="36">
        <v>1</v>
      </c>
      <c r="O93" s="15"/>
      <c r="P93" s="9">
        <f>SUM((B93:O93))</f>
        <v>1137</v>
      </c>
      <c r="Q93" s="67">
        <f t="shared" ref="Q93:Q104" si="4">SUM(P93/13)</f>
        <v>87.461538461538467</v>
      </c>
    </row>
    <row r="94" spans="1:17" x14ac:dyDescent="0.3">
      <c r="A94" s="9" t="s">
        <v>62</v>
      </c>
      <c r="B94" s="36">
        <v>33</v>
      </c>
      <c r="C94" s="36">
        <v>18</v>
      </c>
      <c r="D94" s="36">
        <v>148</v>
      </c>
      <c r="E94" s="36">
        <v>94</v>
      </c>
      <c r="F94" s="36">
        <v>8</v>
      </c>
      <c r="G94" s="36">
        <v>236</v>
      </c>
      <c r="H94" s="36">
        <v>165</v>
      </c>
      <c r="I94" s="36">
        <v>44</v>
      </c>
      <c r="J94" s="36">
        <v>77</v>
      </c>
      <c r="K94" s="36">
        <v>62</v>
      </c>
      <c r="L94" s="36">
        <v>26</v>
      </c>
      <c r="M94" s="36">
        <v>65</v>
      </c>
      <c r="N94" s="36">
        <v>1</v>
      </c>
      <c r="O94" s="15"/>
      <c r="P94" s="9">
        <f>SUM((B94:O94))</f>
        <v>977</v>
      </c>
      <c r="Q94" s="67">
        <f t="shared" si="4"/>
        <v>75.15384615384616</v>
      </c>
    </row>
    <row r="95" spans="1:17" x14ac:dyDescent="0.3">
      <c r="A95" s="9" t="s">
        <v>63</v>
      </c>
      <c r="B95" s="48">
        <v>0</v>
      </c>
      <c r="C95" s="48">
        <v>0</v>
      </c>
      <c r="D95" s="48">
        <v>0.01</v>
      </c>
      <c r="E95" s="48">
        <v>6.0000000000000001E-3</v>
      </c>
      <c r="F95" s="48">
        <v>0</v>
      </c>
      <c r="G95" s="48">
        <v>4.3200000000000002E-2</v>
      </c>
      <c r="H95" s="48">
        <v>5.0000000000000001E-3</v>
      </c>
      <c r="I95" s="48">
        <v>0</v>
      </c>
      <c r="J95" s="48">
        <v>0.02</v>
      </c>
      <c r="K95" s="48">
        <v>2.07E-2</v>
      </c>
      <c r="L95" s="48">
        <v>0.02</v>
      </c>
      <c r="M95" s="48">
        <v>0.06</v>
      </c>
      <c r="N95" s="48">
        <v>0</v>
      </c>
      <c r="O95" s="25"/>
      <c r="P95" s="9">
        <f>SUM((B95:O95))</f>
        <v>0.18490000000000001</v>
      </c>
      <c r="Q95" s="67">
        <f t="shared" si="4"/>
        <v>1.4223076923076923E-2</v>
      </c>
    </row>
    <row r="96" spans="1:17" x14ac:dyDescent="0.3">
      <c r="A96" s="9" t="s">
        <v>64</v>
      </c>
      <c r="B96" s="37">
        <v>26.59</v>
      </c>
      <c r="C96" s="37">
        <v>22.82</v>
      </c>
      <c r="D96" s="37">
        <v>21.96</v>
      </c>
      <c r="E96" s="37">
        <v>41.33</v>
      </c>
      <c r="F96" s="37">
        <v>19.22</v>
      </c>
      <c r="G96" s="37">
        <v>42.84</v>
      </c>
      <c r="H96" s="37">
        <v>23.48</v>
      </c>
      <c r="I96" s="37">
        <v>40.92</v>
      </c>
      <c r="J96" s="37">
        <v>19.559999999999999</v>
      </c>
      <c r="K96" s="37">
        <v>17.940000000000001</v>
      </c>
      <c r="L96" s="37">
        <v>29.35</v>
      </c>
      <c r="M96" s="37">
        <v>22.45</v>
      </c>
      <c r="N96" s="37">
        <v>18</v>
      </c>
      <c r="O96" s="17"/>
      <c r="P96" s="9">
        <f>SUM((B96:O96))</f>
        <v>346.46000000000004</v>
      </c>
      <c r="Q96" s="67">
        <f t="shared" si="4"/>
        <v>26.650769230769235</v>
      </c>
    </row>
    <row r="97" spans="1:17" x14ac:dyDescent="0.3">
      <c r="A97" s="9" t="s">
        <v>65</v>
      </c>
      <c r="B97" s="38">
        <v>38.39</v>
      </c>
      <c r="C97" s="38">
        <v>37.25</v>
      </c>
      <c r="D97" s="38">
        <v>40</v>
      </c>
      <c r="E97" s="38">
        <v>38.6</v>
      </c>
      <c r="F97" s="38">
        <v>34.15</v>
      </c>
      <c r="G97" s="38">
        <v>38.450000000000003</v>
      </c>
      <c r="H97" s="38">
        <v>38.5</v>
      </c>
      <c r="I97" s="38">
        <v>39</v>
      </c>
      <c r="J97" s="38">
        <v>38</v>
      </c>
      <c r="K97" s="38">
        <v>37</v>
      </c>
      <c r="L97" s="38">
        <v>39.69</v>
      </c>
      <c r="M97" s="38">
        <v>36.94</v>
      </c>
      <c r="N97" s="38">
        <v>20</v>
      </c>
      <c r="O97" s="15"/>
      <c r="P97" s="9">
        <f>SUM((B97:O97))</f>
        <v>475.97</v>
      </c>
      <c r="Q97" s="67">
        <f t="shared" si="4"/>
        <v>36.613076923076925</v>
      </c>
    </row>
    <row r="98" spans="1:17" x14ac:dyDescent="0.3">
      <c r="A98" s="9" t="s">
        <v>66</v>
      </c>
      <c r="B98" s="52">
        <v>320259</v>
      </c>
      <c r="C98" s="52">
        <v>184593</v>
      </c>
      <c r="D98" s="52">
        <v>498777</v>
      </c>
      <c r="E98" s="52">
        <v>472345</v>
      </c>
      <c r="F98" s="52">
        <v>78945.33</v>
      </c>
      <c r="G98" s="52">
        <v>1097040</v>
      </c>
      <c r="H98" s="52">
        <v>403097</v>
      </c>
      <c r="I98" s="52">
        <v>380876.89</v>
      </c>
      <c r="J98" s="52">
        <v>254979</v>
      </c>
      <c r="K98" s="52">
        <v>297982.27</v>
      </c>
      <c r="L98" s="52">
        <v>192180</v>
      </c>
      <c r="M98" s="52">
        <v>349491</v>
      </c>
      <c r="N98" s="52">
        <v>23981</v>
      </c>
      <c r="O98" s="1"/>
      <c r="P98" s="9">
        <f>SUM((B98:O98))</f>
        <v>4554546.49</v>
      </c>
      <c r="Q98" s="67">
        <f t="shared" si="4"/>
        <v>350349.73000000004</v>
      </c>
    </row>
    <row r="99" spans="1:17" x14ac:dyDescent="0.3">
      <c r="A99" s="9" t="s">
        <v>67</v>
      </c>
      <c r="B99" s="40">
        <f>((B96*B97)*52)*B94</f>
        <v>1751675.8116000001</v>
      </c>
      <c r="C99" s="40">
        <f>((C96*C97)*52)*C94</f>
        <v>795642.11999999988</v>
      </c>
      <c r="D99" s="40">
        <f>((D96*D97)*52)*D94</f>
        <v>6760166.4000000004</v>
      </c>
      <c r="E99" s="40">
        <f>((E96*E97)*52)*E94</f>
        <v>7798012.1440000003</v>
      </c>
      <c r="F99" s="40">
        <f>((F96*F97)*52)*F94</f>
        <v>273047.00799999997</v>
      </c>
      <c r="G99" s="40">
        <f>((G96*G97)*52)*G94</f>
        <v>20214413.856000002</v>
      </c>
      <c r="H99" s="40">
        <f>((H96*H97)*52)*H94</f>
        <v>7756148.3999999994</v>
      </c>
      <c r="I99" s="40">
        <f>((I96*I97)*52)*I94</f>
        <v>3651373.4400000004</v>
      </c>
      <c r="J99" s="40">
        <f>((J96*J97)*52)*J94</f>
        <v>2976093.1199999996</v>
      </c>
      <c r="K99" s="40">
        <f>((K96*K97)*52)*K94</f>
        <v>2140026.7200000002</v>
      </c>
      <c r="L99" s="40">
        <f>((L96*L97)*52)*L94</f>
        <v>1574946.828</v>
      </c>
      <c r="M99" s="40">
        <f>((M96*M97)*52)*M94</f>
        <v>2803044.1399999997</v>
      </c>
      <c r="N99" s="40">
        <f>((N96*N97)*52)*N94</f>
        <v>18720</v>
      </c>
      <c r="O99" s="7"/>
      <c r="P99" s="9">
        <f>SUM((B99:O99))</f>
        <v>58513309.987599999</v>
      </c>
      <c r="Q99" s="67">
        <f t="shared" si="4"/>
        <v>4501023.8452000003</v>
      </c>
    </row>
    <row r="100" spans="1:17" x14ac:dyDescent="0.3">
      <c r="A100" s="9" t="s">
        <v>153</v>
      </c>
      <c r="B100" s="41">
        <f>(B99)*0.348</f>
        <v>609583.18243679998</v>
      </c>
      <c r="C100" s="41">
        <f>(C99)*0.339</f>
        <v>269722.67867999995</v>
      </c>
      <c r="D100" s="41">
        <f>(D99)*0.341</f>
        <v>2305216.7424000003</v>
      </c>
      <c r="E100" s="41">
        <f>(E99)*0.379</f>
        <v>2955446.6025760002</v>
      </c>
      <c r="F100" s="41">
        <f>(F99)*0.322</f>
        <v>87921.13657599999</v>
      </c>
      <c r="G100" s="41">
        <f>(G99)*0.383</f>
        <v>7742120.5068480009</v>
      </c>
      <c r="H100" s="41">
        <f>(H99)*0.342</f>
        <v>2652602.7527999999</v>
      </c>
      <c r="I100" s="41">
        <f>(I99)*0.379</f>
        <v>1383870.5337600003</v>
      </c>
      <c r="J100" s="41">
        <f>(J99)*0.3309</f>
        <v>984789.21340799995</v>
      </c>
      <c r="K100" s="41">
        <f>(K99)*0.323</f>
        <v>691228.63056000008</v>
      </c>
      <c r="L100" s="41">
        <f>(L99)*0.354</f>
        <v>557531.17711199995</v>
      </c>
      <c r="M100" s="41">
        <f>(M99)*0.338</f>
        <v>947428.91931999999</v>
      </c>
      <c r="N100" s="41">
        <f>(N99)*0.277</f>
        <v>5185.4400000000005</v>
      </c>
      <c r="O100" s="1"/>
      <c r="P100" s="9">
        <f>SUM((B100:O100))</f>
        <v>21192647.516476799</v>
      </c>
      <c r="Q100" s="67">
        <f t="shared" si="4"/>
        <v>1630203.6551136</v>
      </c>
    </row>
    <row r="101" spans="1:17" x14ac:dyDescent="0.3">
      <c r="A101" s="9" t="s">
        <v>44</v>
      </c>
      <c r="B101" s="40">
        <f>((B94*B95)*6384)</f>
        <v>0</v>
      </c>
      <c r="C101" s="40">
        <f>((C94*C95)*6384)</f>
        <v>0</v>
      </c>
      <c r="D101" s="40">
        <f>((D94*D95)*6384)</f>
        <v>9448.32</v>
      </c>
      <c r="E101" s="40">
        <f>((E94*E95)*6384)</f>
        <v>3600.5760000000005</v>
      </c>
      <c r="F101" s="40">
        <f>((F94*F95)*6384)</f>
        <v>0</v>
      </c>
      <c r="G101" s="40">
        <f>((G94*G95)*6384)</f>
        <v>65086.156799999997</v>
      </c>
      <c r="H101" s="40">
        <f>((H94*H95)*6384)</f>
        <v>5266.8</v>
      </c>
      <c r="I101" s="40">
        <f>((I94*I95)*6384)</f>
        <v>0</v>
      </c>
      <c r="J101" s="40">
        <f>((J94*J95)*6384)</f>
        <v>9831.36</v>
      </c>
      <c r="K101" s="40">
        <f>((K94*K95)*6384)</f>
        <v>8193.2255999999998</v>
      </c>
      <c r="L101" s="40">
        <f>((L94*L95)*6384)</f>
        <v>3319.6800000000003</v>
      </c>
      <c r="M101" s="40">
        <f>((M94*M95)*6384)</f>
        <v>24897.599999999999</v>
      </c>
      <c r="N101" s="40">
        <f>((N94*N95)*6384)</f>
        <v>0</v>
      </c>
      <c r="O101" s="7"/>
      <c r="P101" s="9">
        <f>SUM((B101:O101))</f>
        <v>129643.71840000001</v>
      </c>
      <c r="Q101" s="67">
        <f t="shared" si="4"/>
        <v>9972.5937230769232</v>
      </c>
    </row>
    <row r="102" spans="1:17" x14ac:dyDescent="0.3">
      <c r="A102" s="9" t="s">
        <v>68</v>
      </c>
      <c r="B102" s="53">
        <f>B94*(26-26)*370</f>
        <v>0</v>
      </c>
      <c r="C102" s="53">
        <f>C94*(26-26)*370</f>
        <v>0</v>
      </c>
      <c r="D102" s="53">
        <f>D94*(26-26)*370</f>
        <v>0</v>
      </c>
      <c r="E102" s="53">
        <f>E94*(26-26)*370</f>
        <v>0</v>
      </c>
      <c r="F102" s="53">
        <f>F94*(26-22)*370</f>
        <v>11840</v>
      </c>
      <c r="G102" s="53">
        <f>G94*(26-26)*370</f>
        <v>0</v>
      </c>
      <c r="H102" s="53">
        <f>H94*(26-26)*370</f>
        <v>0</v>
      </c>
      <c r="I102" s="53">
        <f>I94*(26-26)*370</f>
        <v>0</v>
      </c>
      <c r="J102" s="53">
        <f>J94*(26-26)*370</f>
        <v>0</v>
      </c>
      <c r="K102" s="53">
        <f>K94*(26-26)*370</f>
        <v>0</v>
      </c>
      <c r="L102" s="53">
        <f>L94*(26-26)*370</f>
        <v>0</v>
      </c>
      <c r="M102" s="53">
        <f>M94*(26-26)*370</f>
        <v>0</v>
      </c>
      <c r="N102" s="53">
        <f>N94*(26-26)*370</f>
        <v>0</v>
      </c>
      <c r="O102" s="27"/>
      <c r="P102" s="9">
        <f>SUM((B102:O102))</f>
        <v>11840</v>
      </c>
      <c r="Q102" s="67">
        <f t="shared" si="4"/>
        <v>910.76923076923072</v>
      </c>
    </row>
    <row r="103" spans="1:17" x14ac:dyDescent="0.3">
      <c r="A103" s="9" t="s">
        <v>70</v>
      </c>
      <c r="B103" s="40">
        <f>(B100+B101+B102)</f>
        <v>609583.18243679998</v>
      </c>
      <c r="C103" s="40">
        <f>(C100+C101+C102)</f>
        <v>269722.67867999995</v>
      </c>
      <c r="D103" s="40">
        <f>(D100+D101+D102)</f>
        <v>2314665.0624000002</v>
      </c>
      <c r="E103" s="40">
        <f>(E100+E101+E102)</f>
        <v>2959047.178576</v>
      </c>
      <c r="F103" s="40">
        <f>(F100+F101+F102)</f>
        <v>99761.13657599999</v>
      </c>
      <c r="G103" s="40">
        <f>(G100+G101+G102)</f>
        <v>7807206.6636480009</v>
      </c>
      <c r="H103" s="40">
        <f>(H100+H101+H102)</f>
        <v>2657869.5527999997</v>
      </c>
      <c r="I103" s="40">
        <f>(I100+I101+I102)</f>
        <v>1383870.5337600003</v>
      </c>
      <c r="J103" s="40">
        <f>(J100+J101+J102)</f>
        <v>994620.57340799994</v>
      </c>
      <c r="K103" s="40">
        <f>(K100+K101+K102)</f>
        <v>699421.85616000008</v>
      </c>
      <c r="L103" s="40">
        <f>(L100+L101+L102)</f>
        <v>560850.857112</v>
      </c>
      <c r="M103" s="40">
        <f>(M100+M101+M102)</f>
        <v>972326.51931999996</v>
      </c>
      <c r="N103" s="40">
        <f>(N100+N101+N102)</f>
        <v>5185.4400000000005</v>
      </c>
      <c r="O103" s="7"/>
      <c r="P103" s="9">
        <f>SUM((B103:O103))</f>
        <v>21334131.234876804</v>
      </c>
      <c r="Q103" s="67">
        <f t="shared" si="4"/>
        <v>1641087.0180674465</v>
      </c>
    </row>
    <row r="104" spans="1:17" x14ac:dyDescent="0.3">
      <c r="A104" s="9" t="s">
        <v>71</v>
      </c>
      <c r="B104" s="47">
        <f>(B103/B98)*100</f>
        <v>190.34068751754049</v>
      </c>
      <c r="C104" s="47">
        <f>(C103/C98)*100</f>
        <v>146.11750103200009</v>
      </c>
      <c r="D104" s="47">
        <f>(D103/D98)*100</f>
        <v>464.068123109125</v>
      </c>
      <c r="E104" s="47">
        <f>(E103/E98)*100</f>
        <v>626.45887615535253</v>
      </c>
      <c r="F104" s="47">
        <f>(F103/F98)*100</f>
        <v>126.36736913507104</v>
      </c>
      <c r="G104" s="47">
        <f>(G103/G98)*100</f>
        <v>711.66107558958663</v>
      </c>
      <c r="H104" s="47">
        <f>(H103/H98)*100</f>
        <v>659.36227577977502</v>
      </c>
      <c r="I104" s="47">
        <f>(I103/I98)*100</f>
        <v>363.33801553567616</v>
      </c>
      <c r="J104" s="47">
        <f>(J103/J98)*100</f>
        <v>390.07940787594271</v>
      </c>
      <c r="K104" s="47">
        <f>(K103/K98)*100</f>
        <v>234.71928586892102</v>
      </c>
      <c r="L104" s="47">
        <f>(L103/L98)*100</f>
        <v>291.83622495160785</v>
      </c>
      <c r="M104" s="47">
        <f>(M103/M98)*100</f>
        <v>278.21217694303999</v>
      </c>
      <c r="N104" s="47">
        <f>(N103/N98)*100</f>
        <v>21.623118301989077</v>
      </c>
      <c r="O104" s="14"/>
      <c r="P104" s="9">
        <f>SUM((B104:O104))</f>
        <v>4504.1841377956271</v>
      </c>
      <c r="Q104" s="67">
        <f t="shared" si="4"/>
        <v>346.47570290735592</v>
      </c>
    </row>
    <row r="105" spans="1:17" ht="16.2" thickBot="1" x14ac:dyDescent="0.35">
      <c r="A105" s="11" t="s">
        <v>11</v>
      </c>
      <c r="B105" s="35">
        <f>+B104*0.01</f>
        <v>1.903406875175405</v>
      </c>
      <c r="C105" s="35">
        <f>+C104*0.01</f>
        <v>1.461175010320001</v>
      </c>
      <c r="D105" s="35">
        <f>+D104*0.01</f>
        <v>4.64068123109125</v>
      </c>
      <c r="E105" s="35">
        <f>+E104*0.01</f>
        <v>6.2645887615535258</v>
      </c>
      <c r="F105" s="35">
        <f>+F104*0.01</f>
        <v>1.2636736913507105</v>
      </c>
      <c r="G105" s="35">
        <f>+G104*0.01</f>
        <v>7.1166107558958664</v>
      </c>
      <c r="H105" s="35">
        <f>+H104*0.01</f>
        <v>6.5936227577977506</v>
      </c>
      <c r="I105" s="35">
        <f>+I104*0.01</f>
        <v>3.6333801553567615</v>
      </c>
      <c r="J105" s="35">
        <f>+J104*0.01</f>
        <v>3.9007940787594273</v>
      </c>
      <c r="K105" s="35">
        <f>+K104*0.01</f>
        <v>2.3471928586892101</v>
      </c>
      <c r="L105" s="35">
        <f>+L104*0.01</f>
        <v>2.9183622495160786</v>
      </c>
      <c r="M105" s="35">
        <f>+M104*0.01</f>
        <v>2.7821217694303999</v>
      </c>
      <c r="N105" s="35">
        <f>+N104*0.01</f>
        <v>0.21623118301989078</v>
      </c>
      <c r="O105" s="21"/>
      <c r="P105" s="9">
        <f>SUM((B105:O105))</f>
        <v>45.041841377956281</v>
      </c>
      <c r="Q105" s="13">
        <f>SUM(P105/13)</f>
        <v>3.4647570290735601</v>
      </c>
    </row>
    <row r="106" spans="1:17" ht="15" thickTop="1" x14ac:dyDescent="0.3"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14"/>
      <c r="P106" s="9"/>
      <c r="Q106" s="5"/>
    </row>
    <row r="107" spans="1:17" x14ac:dyDescent="0.3">
      <c r="A107" s="9" t="s">
        <v>12</v>
      </c>
      <c r="B107">
        <f>(B96*B97*52)</f>
        <v>53081.085200000001</v>
      </c>
      <c r="C107">
        <f>(C96*C97*52)</f>
        <v>44202.34</v>
      </c>
      <c r="D107">
        <f>(D96*D97*52)</f>
        <v>45676.800000000003</v>
      </c>
      <c r="E107">
        <f>(E96*E97*52)</f>
        <v>82957.576000000001</v>
      </c>
      <c r="F107">
        <f>(F96*F97*52)</f>
        <v>34130.875999999997</v>
      </c>
      <c r="G107">
        <f>(G96*G97*52)</f>
        <v>85654.296000000017</v>
      </c>
      <c r="H107">
        <f>(H96*H97*52)</f>
        <v>47006.96</v>
      </c>
      <c r="I107">
        <f>(I96*I97*52)</f>
        <v>82985.760000000009</v>
      </c>
      <c r="J107">
        <f>(J96*J97*52)</f>
        <v>38650.559999999998</v>
      </c>
      <c r="K107">
        <f>(K96*K97*52)</f>
        <v>34516.560000000005</v>
      </c>
      <c r="L107">
        <f>(L96*L97*52)</f>
        <v>60574.877999999997</v>
      </c>
      <c r="M107">
        <f>(M96*M97*52)</f>
        <v>43123.755999999994</v>
      </c>
      <c r="N107">
        <f>(N96*N97*52)</f>
        <v>18720</v>
      </c>
      <c r="O107" s="14"/>
      <c r="P107" s="9">
        <f>SUM((B107:O107))</f>
        <v>671281.44720000005</v>
      </c>
      <c r="Q107" s="5"/>
    </row>
    <row r="108" spans="1:17" x14ac:dyDescent="0.3">
      <c r="A108" s="45" t="s">
        <v>147</v>
      </c>
      <c r="B108" s="44">
        <f>(B96*B97*52)-18350</f>
        <v>34731.085200000001</v>
      </c>
      <c r="C108" s="44">
        <f>(C96*C97*52)-18350</f>
        <v>25852.339999999997</v>
      </c>
      <c r="D108" s="44">
        <f>(D96*D97*52)-18350</f>
        <v>27326.800000000003</v>
      </c>
      <c r="E108" s="44">
        <f>(E96*E97*52)-18350</f>
        <v>64607.576000000001</v>
      </c>
      <c r="F108" s="44">
        <f>(F96*F97*52)-18350</f>
        <v>15780.875999999997</v>
      </c>
      <c r="G108" s="44">
        <f>(G96*G97*52)-18350</f>
        <v>67304.296000000017</v>
      </c>
      <c r="H108" s="44">
        <f>(H96*H97*52)-18350</f>
        <v>28656.959999999999</v>
      </c>
      <c r="I108" s="44">
        <f>(I96*I97*52)-18350</f>
        <v>64635.760000000009</v>
      </c>
      <c r="J108" s="44">
        <f>(J96*J97*52)-18350</f>
        <v>20300.559999999998</v>
      </c>
      <c r="K108" s="44">
        <f>(K96*K97*52)-18350</f>
        <v>16166.560000000005</v>
      </c>
      <c r="L108" s="44">
        <f>(L96*L97*52)-18350</f>
        <v>42224.877999999997</v>
      </c>
      <c r="M108" s="44">
        <f>(M96*M97*52)-18350</f>
        <v>24773.755999999994</v>
      </c>
      <c r="N108" s="44">
        <f>(N96*N97*52)-18350</f>
        <v>370</v>
      </c>
      <c r="O108" s="14"/>
      <c r="P108" s="9">
        <f>SUM((B108:O108))</f>
        <v>432731.4472</v>
      </c>
      <c r="Q108" s="5"/>
    </row>
    <row r="109" spans="1:17" x14ac:dyDescent="0.3">
      <c r="C109" s="14"/>
      <c r="F109" s="14"/>
      <c r="G109" s="14"/>
      <c r="H109" s="14"/>
      <c r="J109" s="14"/>
      <c r="K109" s="14"/>
      <c r="L109" s="14"/>
      <c r="O109" s="14"/>
      <c r="P109" s="9"/>
      <c r="Q109" s="5"/>
    </row>
    <row r="110" spans="1:17" x14ac:dyDescent="0.3">
      <c r="A110" s="11" t="s">
        <v>72</v>
      </c>
      <c r="C110" s="14"/>
      <c r="F110" s="14"/>
      <c r="G110" s="14"/>
      <c r="H110" s="14"/>
      <c r="J110" s="14"/>
      <c r="K110" s="14"/>
      <c r="L110" s="14"/>
      <c r="O110" s="14"/>
      <c r="P110" s="9"/>
      <c r="Q110" s="5"/>
    </row>
    <row r="111" spans="1:17" x14ac:dyDescent="0.3">
      <c r="A111" s="9" t="s">
        <v>73</v>
      </c>
      <c r="B111" s="54">
        <v>249</v>
      </c>
      <c r="C111" s="15">
        <v>452</v>
      </c>
      <c r="D111" s="36">
        <v>413</v>
      </c>
      <c r="E111" s="36">
        <v>352</v>
      </c>
      <c r="F111" s="36">
        <v>56</v>
      </c>
      <c r="G111" s="36">
        <v>795</v>
      </c>
      <c r="H111" s="36">
        <v>177</v>
      </c>
      <c r="I111" s="36">
        <v>182</v>
      </c>
      <c r="J111" s="36">
        <v>334</v>
      </c>
      <c r="K111" s="36">
        <v>195</v>
      </c>
      <c r="L111" s="36">
        <v>146</v>
      </c>
      <c r="M111" s="36">
        <v>258</v>
      </c>
      <c r="N111" s="36">
        <v>7</v>
      </c>
      <c r="O111" s="15"/>
      <c r="P111" s="9">
        <f>SUM((B111:O111))</f>
        <v>3616</v>
      </c>
      <c r="Q111" s="67">
        <f>SUM(P111/13)</f>
        <v>278.15384615384613</v>
      </c>
    </row>
    <row r="112" spans="1:17" x14ac:dyDescent="0.3">
      <c r="A112" s="9" t="s">
        <v>74</v>
      </c>
      <c r="B112" s="54">
        <v>136</v>
      </c>
      <c r="C112" s="15">
        <v>413</v>
      </c>
      <c r="D112" s="36">
        <v>275</v>
      </c>
      <c r="E112" s="36">
        <v>228</v>
      </c>
      <c r="F112" s="36">
        <v>31</v>
      </c>
      <c r="G112" s="36">
        <v>447</v>
      </c>
      <c r="H112" s="36">
        <v>137</v>
      </c>
      <c r="I112" s="36">
        <v>114</v>
      </c>
      <c r="J112" s="36">
        <v>161</v>
      </c>
      <c r="K112" s="36">
        <v>112</v>
      </c>
      <c r="L112" s="36">
        <v>92</v>
      </c>
      <c r="M112" s="36">
        <v>133</v>
      </c>
      <c r="N112" s="36">
        <v>1</v>
      </c>
      <c r="O112" s="15"/>
      <c r="P112" s="9">
        <f>SUM((B112:O112))</f>
        <v>2280</v>
      </c>
      <c r="Q112" s="67">
        <f t="shared" ref="Q112:Q123" si="5">SUM(P112/13)</f>
        <v>175.38461538461539</v>
      </c>
    </row>
    <row r="113" spans="1:17" x14ac:dyDescent="0.3">
      <c r="A113" s="9" t="s">
        <v>75</v>
      </c>
      <c r="B113" s="54">
        <v>112</v>
      </c>
      <c r="C113" s="15">
        <v>375</v>
      </c>
      <c r="D113" s="36">
        <v>258</v>
      </c>
      <c r="E113" s="36">
        <v>182</v>
      </c>
      <c r="F113" s="36">
        <v>19</v>
      </c>
      <c r="G113" s="36">
        <v>382</v>
      </c>
      <c r="H113" s="36">
        <v>123</v>
      </c>
      <c r="I113" s="36">
        <v>81</v>
      </c>
      <c r="J113" s="36">
        <v>133</v>
      </c>
      <c r="K113" s="36">
        <v>93</v>
      </c>
      <c r="L113" s="36">
        <v>82</v>
      </c>
      <c r="M113" s="36">
        <v>126</v>
      </c>
      <c r="N113" s="36">
        <v>1</v>
      </c>
      <c r="O113" s="15"/>
      <c r="P113" s="9">
        <f>SUM((B113:O113))</f>
        <v>1967</v>
      </c>
      <c r="Q113" s="67">
        <f t="shared" si="5"/>
        <v>151.30769230769232</v>
      </c>
    </row>
    <row r="114" spans="1:17" x14ac:dyDescent="0.3">
      <c r="A114" s="9" t="s">
        <v>76</v>
      </c>
      <c r="B114" s="55">
        <v>1.7899999999999999E-2</v>
      </c>
      <c r="C114" s="25">
        <v>0.01</v>
      </c>
      <c r="D114" s="48">
        <v>0</v>
      </c>
      <c r="E114" s="48">
        <v>6.0000000000000001E-3</v>
      </c>
      <c r="F114" s="48">
        <v>0</v>
      </c>
      <c r="G114" s="48">
        <v>3.2899999999999999E-2</v>
      </c>
      <c r="H114" s="48">
        <v>5.0000000000000001E-3</v>
      </c>
      <c r="I114" s="48">
        <v>0</v>
      </c>
      <c r="J114" s="48">
        <v>1.4999999999999999E-2</v>
      </c>
      <c r="K114" s="48">
        <v>1.03E-2</v>
      </c>
      <c r="L114" s="48">
        <v>0.02</v>
      </c>
      <c r="M114" s="48">
        <v>0.05</v>
      </c>
      <c r="N114" s="48">
        <v>0</v>
      </c>
      <c r="O114" s="25"/>
      <c r="P114" s="9">
        <f>SUM((B114:O114))</f>
        <v>0.16710000000000003</v>
      </c>
      <c r="Q114" s="67">
        <f t="shared" si="5"/>
        <v>1.2853846153846157E-2</v>
      </c>
    </row>
    <row r="115" spans="1:17" x14ac:dyDescent="0.3">
      <c r="A115" s="9" t="s">
        <v>77</v>
      </c>
      <c r="B115" s="56">
        <v>24.39</v>
      </c>
      <c r="C115" s="17">
        <v>18.940000000000001</v>
      </c>
      <c r="D115" s="49">
        <v>20.43</v>
      </c>
      <c r="E115" s="49">
        <v>35.200000000000003</v>
      </c>
      <c r="F115" s="49">
        <v>17.98</v>
      </c>
      <c r="G115" s="49">
        <v>39.79</v>
      </c>
      <c r="H115" s="49">
        <v>24.81</v>
      </c>
      <c r="I115" s="49">
        <v>22.44</v>
      </c>
      <c r="J115" s="49">
        <v>19.600000000000001</v>
      </c>
      <c r="K115" s="49">
        <v>20.05</v>
      </c>
      <c r="L115" s="49">
        <v>34.35</v>
      </c>
      <c r="M115" s="49">
        <v>21.01</v>
      </c>
      <c r="N115" s="49">
        <v>14</v>
      </c>
      <c r="O115" s="17"/>
      <c r="P115" s="9">
        <f>SUM((B115:O115))</f>
        <v>312.99</v>
      </c>
      <c r="Q115" s="67">
        <f t="shared" si="5"/>
        <v>24.076153846153847</v>
      </c>
    </row>
    <row r="116" spans="1:17" x14ac:dyDescent="0.3">
      <c r="A116" s="9" t="s">
        <v>78</v>
      </c>
      <c r="B116" s="36">
        <v>37.58</v>
      </c>
      <c r="C116" s="15">
        <v>37.6</v>
      </c>
      <c r="D116" s="36">
        <v>40</v>
      </c>
      <c r="E116" s="36">
        <v>38.9</v>
      </c>
      <c r="F116" s="36">
        <v>36.630000000000003</v>
      </c>
      <c r="G116" s="36">
        <v>38</v>
      </c>
      <c r="H116" s="36">
        <v>37.5</v>
      </c>
      <c r="I116" s="36">
        <v>38</v>
      </c>
      <c r="J116" s="36">
        <v>37</v>
      </c>
      <c r="K116" s="36">
        <v>37</v>
      </c>
      <c r="L116" s="36">
        <v>39.340000000000003</v>
      </c>
      <c r="M116" s="36">
        <v>36.9</v>
      </c>
      <c r="N116" s="36">
        <v>40</v>
      </c>
      <c r="O116" s="15"/>
      <c r="P116" s="9">
        <f>SUM((B116:O116))</f>
        <v>494.45000000000005</v>
      </c>
      <c r="Q116" s="67">
        <f t="shared" si="5"/>
        <v>38.034615384615385</v>
      </c>
    </row>
    <row r="117" spans="1:17" x14ac:dyDescent="0.3">
      <c r="A117" s="9" t="s">
        <v>79</v>
      </c>
      <c r="B117" s="52">
        <v>606067</v>
      </c>
      <c r="C117" s="1">
        <v>878576</v>
      </c>
      <c r="D117" s="52">
        <v>913023</v>
      </c>
      <c r="E117" s="52">
        <v>636031</v>
      </c>
      <c r="F117" s="52">
        <v>104078.63</v>
      </c>
      <c r="G117" s="52">
        <v>1627459</v>
      </c>
      <c r="H117" s="52">
        <v>671680</v>
      </c>
      <c r="I117" s="52">
        <v>521424</v>
      </c>
      <c r="J117" s="52">
        <f>791834+97110</f>
        <v>888944</v>
      </c>
      <c r="K117" s="52">
        <v>471988.43</v>
      </c>
      <c r="L117" s="52">
        <v>472565</v>
      </c>
      <c r="M117" s="52">
        <v>773096</v>
      </c>
      <c r="N117" s="52">
        <v>40893</v>
      </c>
      <c r="O117" s="1"/>
      <c r="P117" s="9">
        <f>SUM((B117:O117))</f>
        <v>8605825.0599999987</v>
      </c>
      <c r="Q117" s="67">
        <f t="shared" si="5"/>
        <v>661986.543076923</v>
      </c>
    </row>
    <row r="118" spans="1:17" x14ac:dyDescent="0.3">
      <c r="A118" s="9" t="s">
        <v>80</v>
      </c>
      <c r="B118" s="40">
        <f>((B115*B116)*52)*B113</f>
        <v>5338139.7887999993</v>
      </c>
      <c r="C118" s="7">
        <v>13886808</v>
      </c>
      <c r="D118" s="40">
        <f>((D115*D116)*52)*D113</f>
        <v>10963555.200000001</v>
      </c>
      <c r="E118" s="40">
        <f>((E115*E116)*52)*E113</f>
        <v>12958865.92</v>
      </c>
      <c r="F118" s="40">
        <f>((F115*F116)*52)*F113</f>
        <v>650704.11120000004</v>
      </c>
      <c r="G118" s="40">
        <f>((G115*G116)*52)*G113</f>
        <v>30034765.279999997</v>
      </c>
      <c r="H118" s="40">
        <f>((H115*H116)*52)*H113</f>
        <v>5950678.5</v>
      </c>
      <c r="I118" s="40">
        <f>((I115*I116)*52)*I113</f>
        <v>3591656.64</v>
      </c>
      <c r="J118" s="40">
        <f>((J115*J116)*52)*J113</f>
        <v>5015483.2</v>
      </c>
      <c r="K118" s="40">
        <f>((K115*K116)*52)*K113</f>
        <v>3587586.6000000006</v>
      </c>
      <c r="L118" s="40">
        <f>((L115*L116)*52)*L113</f>
        <v>5762066.8560000006</v>
      </c>
      <c r="M118" s="40">
        <f>((M115*M116)*52)*M113</f>
        <v>5079562.4879999999</v>
      </c>
      <c r="N118" s="40">
        <f>((N115*N116)*52)*N113</f>
        <v>29120</v>
      </c>
      <c r="O118" s="7"/>
      <c r="P118" s="9">
        <f>SUM((B118:O118))</f>
        <v>102848992.58400001</v>
      </c>
      <c r="Q118" s="67">
        <f t="shared" si="5"/>
        <v>7911460.9680000003</v>
      </c>
    </row>
    <row r="119" spans="1:17" x14ac:dyDescent="0.3">
      <c r="A119" s="9" t="s">
        <v>153</v>
      </c>
      <c r="B119" s="41">
        <f>(B118)*0.343</f>
        <v>1830981.9475584</v>
      </c>
      <c r="C119" s="1">
        <v>4443779</v>
      </c>
      <c r="D119" s="41">
        <f>(D118)*0.337</f>
        <v>3694718.1024000007</v>
      </c>
      <c r="E119" s="41">
        <f>(E118)*0.36</f>
        <v>4665191.7311999993</v>
      </c>
      <c r="F119" s="41">
        <f>(F118)*0.322</f>
        <v>209526.72380640003</v>
      </c>
      <c r="G119" s="41">
        <f>(G118)*0.373</f>
        <v>11202967.449439999</v>
      </c>
      <c r="H119" s="41">
        <f>(H118)*0.344</f>
        <v>2047033.4039999999</v>
      </c>
      <c r="I119" s="41">
        <f>(I118)*0.339</f>
        <v>1217571.6009600002</v>
      </c>
      <c r="J119" s="41">
        <f>(J118)*0.3293</f>
        <v>1651598.6177600001</v>
      </c>
      <c r="K119" s="41">
        <f>(K118)*0.331</f>
        <v>1187491.1646000003</v>
      </c>
      <c r="L119" s="41">
        <f>(L118)*0.36</f>
        <v>2074344.0681600003</v>
      </c>
      <c r="M119" s="41">
        <f>(M118)*0.334</f>
        <v>1696573.870992</v>
      </c>
      <c r="N119" s="41">
        <f>(N118)*0.312</f>
        <v>9085.44</v>
      </c>
      <c r="O119" s="1"/>
      <c r="P119" s="9">
        <f>SUM((B119:O119))</f>
        <v>35930863.120876789</v>
      </c>
      <c r="Q119" s="67">
        <f t="shared" si="5"/>
        <v>2763912.5477597532</v>
      </c>
    </row>
    <row r="120" spans="1:17" x14ac:dyDescent="0.3">
      <c r="A120" s="9" t="s">
        <v>44</v>
      </c>
      <c r="B120" s="40">
        <f>((B113*B114)*6384)</f>
        <v>12798.643199999999</v>
      </c>
      <c r="C120" s="7">
        <v>23940</v>
      </c>
      <c r="D120" s="40">
        <f>((D113*D114)*6384)</f>
        <v>0</v>
      </c>
      <c r="E120" s="40">
        <f>((E113*E114)*6384)</f>
        <v>6971.3280000000004</v>
      </c>
      <c r="F120" s="40">
        <f>((F113*F114)*6384)</f>
        <v>0</v>
      </c>
      <c r="G120" s="40">
        <f>((G113*G114)*6384)</f>
        <v>80232.835200000001</v>
      </c>
      <c r="H120" s="40">
        <f>((H113*H114)*6384)</f>
        <v>3926.16</v>
      </c>
      <c r="I120" s="40">
        <f>((I113*I114)*6384)</f>
        <v>0</v>
      </c>
      <c r="J120" s="40">
        <f>((J113*J114)*6384)</f>
        <v>12736.08</v>
      </c>
      <c r="K120" s="40">
        <f>((K113*K114)*6384)</f>
        <v>6115.2335999999996</v>
      </c>
      <c r="L120" s="40">
        <f>((L113*L114)*6384)</f>
        <v>10469.76</v>
      </c>
      <c r="M120" s="40">
        <f>((M113*M114)*6384)</f>
        <v>40219.200000000004</v>
      </c>
      <c r="N120" s="40">
        <f>((N113*N114)*6384)</f>
        <v>0</v>
      </c>
      <c r="O120" s="7"/>
      <c r="P120" s="9">
        <f>SUM((B120:O120))</f>
        <v>197409.24000000002</v>
      </c>
      <c r="Q120" s="67">
        <f t="shared" si="5"/>
        <v>15185.326153846156</v>
      </c>
    </row>
    <row r="121" spans="1:17" x14ac:dyDescent="0.3">
      <c r="A121" s="9" t="s">
        <v>68</v>
      </c>
      <c r="B121" s="53">
        <f>B113*(26-26)*370</f>
        <v>0</v>
      </c>
      <c r="C121" s="27" t="s">
        <v>69</v>
      </c>
      <c r="D121" s="53">
        <f>D113*(26-26)*370</f>
        <v>0</v>
      </c>
      <c r="E121" s="53">
        <f>E113*(26-26)*370</f>
        <v>0</v>
      </c>
      <c r="F121" s="53">
        <f>F113*(26-24.58)*370</f>
        <v>9982.6000000000113</v>
      </c>
      <c r="G121" s="53">
        <f>G113*(26-26)*370</f>
        <v>0</v>
      </c>
      <c r="H121" s="53">
        <f>H113*(26-26)*370</f>
        <v>0</v>
      </c>
      <c r="I121" s="53">
        <f>I113*(26-26)*370</f>
        <v>0</v>
      </c>
      <c r="J121" s="53">
        <f>J113*(26-26)*370</f>
        <v>0</v>
      </c>
      <c r="K121" s="53">
        <f>K113*(26-26)*370</f>
        <v>0</v>
      </c>
      <c r="L121" s="53">
        <f>L113*(26-26)*370</f>
        <v>0</v>
      </c>
      <c r="M121" s="53">
        <f>M113*(26-26)*370</f>
        <v>0</v>
      </c>
      <c r="N121" s="53">
        <f>N113*(26-26)*370</f>
        <v>0</v>
      </c>
      <c r="O121" s="27"/>
      <c r="P121" s="9">
        <f>SUM((B121:O121))</f>
        <v>9982.6000000000113</v>
      </c>
      <c r="Q121" s="67">
        <f t="shared" si="5"/>
        <v>767.89230769230858</v>
      </c>
    </row>
    <row r="122" spans="1:17" x14ac:dyDescent="0.3">
      <c r="A122" s="9" t="s">
        <v>81</v>
      </c>
      <c r="B122" s="40">
        <f>(B119+B120+B121)</f>
        <v>1843780.5907584</v>
      </c>
      <c r="C122" s="7">
        <v>4467719</v>
      </c>
      <c r="D122" s="40">
        <f>(D119+D120+D121)</f>
        <v>3694718.1024000007</v>
      </c>
      <c r="E122" s="40">
        <f>(E119+E120+E121)</f>
        <v>4672163.0591999991</v>
      </c>
      <c r="F122" s="40">
        <f>(F119+F120+F121)</f>
        <v>219509.32380640003</v>
      </c>
      <c r="G122" s="40">
        <f>(G119+G120+G121)</f>
        <v>11283200.284639999</v>
      </c>
      <c r="H122" s="40">
        <f>(H119+H120+H121)</f>
        <v>2050959.5639999998</v>
      </c>
      <c r="I122" s="40">
        <f>(I119+I120+I121)</f>
        <v>1217571.6009600002</v>
      </c>
      <c r="J122" s="40">
        <f>(J119+J120+J121)</f>
        <v>1664334.6977600001</v>
      </c>
      <c r="K122" s="40">
        <f>(K119+K120+K121)</f>
        <v>1193606.3982000002</v>
      </c>
      <c r="L122" s="40">
        <f>(L119+L120+L121)</f>
        <v>2084813.8281600003</v>
      </c>
      <c r="M122" s="40">
        <f>(M119+M120+M121)</f>
        <v>1736793.0709919999</v>
      </c>
      <c r="N122" s="40">
        <f>(N119+N120+N121)</f>
        <v>9085.44</v>
      </c>
      <c r="O122" s="7"/>
      <c r="P122" s="9">
        <f>SUM((B122:O122))</f>
        <v>36138254.9608768</v>
      </c>
      <c r="Q122" s="67">
        <f t="shared" si="5"/>
        <v>2779865.7662212923</v>
      </c>
    </row>
    <row r="123" spans="1:17" x14ac:dyDescent="0.3">
      <c r="A123" s="9" t="s">
        <v>82</v>
      </c>
      <c r="B123" s="47">
        <f>(B122/B117)*100</f>
        <v>304.22058794793315</v>
      </c>
      <c r="C123" s="14">
        <v>508.51816580000002</v>
      </c>
      <c r="D123" s="47">
        <f>(D122/D117)*100</f>
        <v>404.66867783177429</v>
      </c>
      <c r="E123" s="47">
        <f>(E122/E117)*100</f>
        <v>734.58102815743246</v>
      </c>
      <c r="F123" s="47">
        <f>(F122/F117)*100</f>
        <v>210.90719949561213</v>
      </c>
      <c r="G123" s="47">
        <f>(G122/G117)*100</f>
        <v>693.30166134077717</v>
      </c>
      <c r="H123" s="47">
        <f>(H122/H117)*100</f>
        <v>305.34771974749879</v>
      </c>
      <c r="I123" s="47">
        <f>(I122/I117)*100</f>
        <v>233.50892957746484</v>
      </c>
      <c r="J123" s="47">
        <f>(J122/J117)*100</f>
        <v>187.22604548318006</v>
      </c>
      <c r="K123" s="47">
        <f>(K122/K117)*100</f>
        <v>252.8889104760471</v>
      </c>
      <c r="L123" s="47">
        <f>(L122/L117)*100</f>
        <v>441.16974980373078</v>
      </c>
      <c r="M123" s="47">
        <f>(M122/M117)*100</f>
        <v>224.65425652079429</v>
      </c>
      <c r="N123" s="47">
        <f>(N122/N117)*100</f>
        <v>22.217592252952826</v>
      </c>
      <c r="O123" s="14"/>
      <c r="P123" s="9">
        <f>SUM((B123:O123))</f>
        <v>4523.2105244351978</v>
      </c>
      <c r="Q123" s="67">
        <f t="shared" si="5"/>
        <v>347.93927111039983</v>
      </c>
    </row>
    <row r="124" spans="1:17" ht="16.2" thickBot="1" x14ac:dyDescent="0.35">
      <c r="A124" s="11" t="s">
        <v>11</v>
      </c>
      <c r="B124" s="35">
        <f>+B123*0.01</f>
        <v>3.0422058794793316</v>
      </c>
      <c r="C124" s="33">
        <v>5.09</v>
      </c>
      <c r="D124" s="35">
        <f>+D123*0.01</f>
        <v>4.0466867783177429</v>
      </c>
      <c r="E124" s="35">
        <f>+E123*0.01</f>
        <v>7.3458102815743249</v>
      </c>
      <c r="F124" s="35">
        <f>+F123*0.01</f>
        <v>2.1090719949561212</v>
      </c>
      <c r="G124" s="35">
        <f>+G123*0.01</f>
        <v>6.933016613407772</v>
      </c>
      <c r="H124" s="35">
        <f>+H123*0.01</f>
        <v>3.0534771974749879</v>
      </c>
      <c r="I124" s="35">
        <f>+I123*0.01</f>
        <v>2.3350892957746483</v>
      </c>
      <c r="J124" s="35">
        <f>+J123*0.01</f>
        <v>1.8722604548318007</v>
      </c>
      <c r="K124" s="35">
        <f>+K123*0.01</f>
        <v>2.5288891047604709</v>
      </c>
      <c r="L124" s="35">
        <f>+L123*0.01</f>
        <v>4.4116974980373076</v>
      </c>
      <c r="M124" s="35">
        <f>+M123*0.01</f>
        <v>2.2465425652079429</v>
      </c>
      <c r="N124" s="35">
        <f>+N123*0.01</f>
        <v>0.22217592252952828</v>
      </c>
      <c r="O124" s="21"/>
      <c r="P124" s="9">
        <f>SUM((B124:O124))</f>
        <v>45.236923586351992</v>
      </c>
      <c r="Q124" s="13">
        <f>SUM(P124/13)</f>
        <v>3.479763352796307</v>
      </c>
    </row>
    <row r="125" spans="1:17" ht="15" thickTop="1" x14ac:dyDescent="0.3">
      <c r="B125" s="47"/>
      <c r="C125" s="14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14"/>
      <c r="P125" s="9"/>
      <c r="Q125" s="5"/>
    </row>
    <row r="126" spans="1:17" x14ac:dyDescent="0.3">
      <c r="A126" s="9" t="s">
        <v>12</v>
      </c>
      <c r="B126">
        <f>(B115*B116*52)</f>
        <v>47661.962399999997</v>
      </c>
      <c r="C126" s="14">
        <v>37031.487999999998</v>
      </c>
      <c r="D126">
        <f>(D115*D116*52)</f>
        <v>42494.400000000001</v>
      </c>
      <c r="E126">
        <f>(E115*E116*52)</f>
        <v>71202.559999999998</v>
      </c>
      <c r="F126">
        <f>(F115*F116*52)</f>
        <v>34247.584800000004</v>
      </c>
      <c r="G126">
        <f>(G115*G116*52)</f>
        <v>78625.039999999994</v>
      </c>
      <c r="H126">
        <f>(H115*H116*52)</f>
        <v>48379.5</v>
      </c>
      <c r="I126">
        <f>(I115*I116*52)</f>
        <v>44341.440000000002</v>
      </c>
      <c r="J126">
        <f>(J115*J116*52)</f>
        <v>37710.400000000001</v>
      </c>
      <c r="K126">
        <f>(K115*K116*52)</f>
        <v>38576.200000000004</v>
      </c>
      <c r="L126">
        <f>(L115*L116*52)</f>
        <v>70269.108000000007</v>
      </c>
      <c r="M126">
        <f>(M115*M116*52)</f>
        <v>40313.987999999998</v>
      </c>
      <c r="N126">
        <f>(N115*N116*52)</f>
        <v>29120</v>
      </c>
      <c r="O126" s="14"/>
      <c r="P126" s="9">
        <f>SUM((B126:O126))</f>
        <v>619973.6712000001</v>
      </c>
      <c r="Q126" s="5"/>
    </row>
    <row r="127" spans="1:17" x14ac:dyDescent="0.3">
      <c r="A127" s="45" t="s">
        <v>147</v>
      </c>
      <c r="B127" s="44">
        <f>(B115*B116*52)-18350</f>
        <v>29311.962399999997</v>
      </c>
      <c r="C127" s="14">
        <v>15531.487999999999</v>
      </c>
      <c r="D127" s="44">
        <f>(D115*D116*52)-18350</f>
        <v>24144.400000000001</v>
      </c>
      <c r="E127" s="44">
        <f>(E115*E116*52)-18350</f>
        <v>52852.56</v>
      </c>
      <c r="F127" s="44">
        <f>(F115*F116*52)-18350</f>
        <v>15897.584800000004</v>
      </c>
      <c r="G127" s="44">
        <f>(G115*G116*52)-18350</f>
        <v>60275.039999999994</v>
      </c>
      <c r="H127" s="44">
        <f>(H115*H116*52)-18350</f>
        <v>30029.5</v>
      </c>
      <c r="I127" s="44">
        <f>(I115*I116*52)-18350</f>
        <v>25991.440000000002</v>
      </c>
      <c r="J127" s="44">
        <f>(J115*J116*52)-18350</f>
        <v>19360.400000000001</v>
      </c>
      <c r="K127" s="44">
        <f>(K115*K116*52)-18350</f>
        <v>20226.200000000004</v>
      </c>
      <c r="L127" s="44">
        <f>(L115*L116*52)-18350</f>
        <v>51919.108000000007</v>
      </c>
      <c r="M127" s="44">
        <f>(M115*M116*52)-18350</f>
        <v>21963.987999999998</v>
      </c>
      <c r="N127" s="44">
        <f>(N115*N116*52)-18350</f>
        <v>10770</v>
      </c>
      <c r="O127" s="14"/>
      <c r="P127" s="9">
        <f>SUM((B127:O127))</f>
        <v>378273.67120000004</v>
      </c>
      <c r="Q127" s="5"/>
    </row>
    <row r="128" spans="1:17" x14ac:dyDescent="0.3">
      <c r="C128" s="14"/>
      <c r="F128" s="14"/>
      <c r="G128" s="14"/>
      <c r="H128" s="14"/>
      <c r="J128" s="14"/>
      <c r="K128" s="14"/>
      <c r="L128" s="14"/>
      <c r="O128" s="14"/>
      <c r="P128" s="9"/>
      <c r="Q128" s="5"/>
    </row>
    <row r="129" spans="1:17" hidden="1" x14ac:dyDescent="0.3">
      <c r="A129" s="11" t="s">
        <v>83</v>
      </c>
      <c r="B129" s="9" t="s">
        <v>84</v>
      </c>
      <c r="C129" s="14" t="s">
        <v>84</v>
      </c>
      <c r="D129" s="9" t="s">
        <v>84</v>
      </c>
      <c r="E129" s="9" t="s">
        <v>84</v>
      </c>
      <c r="F129" s="14" t="s">
        <v>84</v>
      </c>
      <c r="G129" s="14" t="s">
        <v>84</v>
      </c>
      <c r="H129" s="14" t="s">
        <v>84</v>
      </c>
      <c r="I129" s="9" t="s">
        <v>84</v>
      </c>
      <c r="J129" s="14" t="s">
        <v>84</v>
      </c>
      <c r="K129" s="14" t="s">
        <v>84</v>
      </c>
      <c r="L129" s="14" t="s">
        <v>84</v>
      </c>
      <c r="M129" s="9" t="s">
        <v>84</v>
      </c>
      <c r="N129" s="9" t="s">
        <v>84</v>
      </c>
      <c r="O129" s="14"/>
      <c r="P129" s="9"/>
      <c r="Q129" s="5"/>
    </row>
    <row r="130" spans="1:17" hidden="1" x14ac:dyDescent="0.3">
      <c r="A130" s="9" t="s">
        <v>85</v>
      </c>
      <c r="B130" s="9">
        <v>76</v>
      </c>
      <c r="C130" s="15">
        <v>885</v>
      </c>
      <c r="D130" s="3">
        <v>5</v>
      </c>
      <c r="E130" s="3">
        <v>19</v>
      </c>
      <c r="F130" s="15"/>
      <c r="G130" s="15"/>
      <c r="H130" s="15"/>
      <c r="I130" s="3"/>
      <c r="J130" s="15"/>
      <c r="K130" s="15">
        <v>59</v>
      </c>
      <c r="L130" s="15">
        <v>48</v>
      </c>
      <c r="O130" s="15"/>
      <c r="P130" s="9">
        <f>SUM((B130:O130))</f>
        <v>1092</v>
      </c>
      <c r="Q130" s="5"/>
    </row>
    <row r="131" spans="1:17" hidden="1" x14ac:dyDescent="0.3">
      <c r="A131" s="9" t="s">
        <v>86</v>
      </c>
      <c r="B131" s="9">
        <v>24</v>
      </c>
      <c r="C131" s="15">
        <v>859</v>
      </c>
      <c r="D131" s="3">
        <v>1</v>
      </c>
      <c r="E131" s="3">
        <v>19</v>
      </c>
      <c r="F131" s="15"/>
      <c r="G131" s="15"/>
      <c r="H131" s="15"/>
      <c r="I131" s="3"/>
      <c r="J131" s="15"/>
      <c r="K131" s="15">
        <v>43</v>
      </c>
      <c r="L131" s="15">
        <v>1</v>
      </c>
      <c r="O131" s="15"/>
      <c r="P131" s="9">
        <f>SUM((B131:O131))</f>
        <v>947</v>
      </c>
      <c r="Q131" s="5"/>
    </row>
    <row r="132" spans="1:17" hidden="1" x14ac:dyDescent="0.3">
      <c r="A132" s="9" t="s">
        <v>87</v>
      </c>
      <c r="B132" s="9">
        <v>22</v>
      </c>
      <c r="C132" s="15">
        <v>820</v>
      </c>
      <c r="D132" s="3">
        <v>0</v>
      </c>
      <c r="E132" s="3">
        <v>18</v>
      </c>
      <c r="F132" s="15"/>
      <c r="G132" s="15"/>
      <c r="H132" s="15"/>
      <c r="I132" s="3"/>
      <c r="J132" s="15"/>
      <c r="K132" s="15">
        <v>43</v>
      </c>
      <c r="L132" s="15">
        <v>1</v>
      </c>
      <c r="O132" s="15"/>
      <c r="P132" s="9">
        <f>SUM((B132:O132))</f>
        <v>904</v>
      </c>
      <c r="Q132" s="5"/>
    </row>
    <row r="133" spans="1:17" hidden="1" x14ac:dyDescent="0.3">
      <c r="A133" s="9" t="s">
        <v>88</v>
      </c>
      <c r="B133" s="24">
        <v>0</v>
      </c>
      <c r="C133" s="25">
        <v>0</v>
      </c>
      <c r="D133" s="26">
        <v>0</v>
      </c>
      <c r="E133" s="26">
        <v>0.06</v>
      </c>
      <c r="F133" s="25">
        <v>0</v>
      </c>
      <c r="G133" s="25">
        <v>0</v>
      </c>
      <c r="H133" s="25">
        <v>0</v>
      </c>
      <c r="I133" s="26">
        <v>0</v>
      </c>
      <c r="J133" s="25">
        <v>0</v>
      </c>
      <c r="K133" s="25">
        <v>0</v>
      </c>
      <c r="L133" s="25">
        <v>0</v>
      </c>
      <c r="M133" s="24">
        <v>0</v>
      </c>
      <c r="N133" s="24">
        <v>0</v>
      </c>
      <c r="O133" s="25"/>
      <c r="P133" s="9">
        <f>SUM((B133:O133))</f>
        <v>0.06</v>
      </c>
      <c r="Q133" s="5"/>
    </row>
    <row r="134" spans="1:17" hidden="1" x14ac:dyDescent="0.3">
      <c r="A134" s="9" t="s">
        <v>89</v>
      </c>
      <c r="B134" s="16">
        <v>19.95</v>
      </c>
      <c r="C134" s="34">
        <v>27.74</v>
      </c>
      <c r="D134" s="2"/>
      <c r="E134" s="2">
        <v>15.88</v>
      </c>
      <c r="F134" s="2"/>
      <c r="G134" s="2"/>
      <c r="H134" s="2"/>
      <c r="I134" s="2"/>
      <c r="J134" s="2"/>
      <c r="K134" s="2">
        <v>28.15</v>
      </c>
      <c r="L134" s="2">
        <v>49.5</v>
      </c>
      <c r="O134" s="2"/>
      <c r="P134" s="9">
        <f>SUM((B134:O134))</f>
        <v>141.22</v>
      </c>
      <c r="Q134" s="5"/>
    </row>
    <row r="135" spans="1:17" hidden="1" x14ac:dyDescent="0.3">
      <c r="A135" s="9" t="s">
        <v>90</v>
      </c>
      <c r="B135" s="9">
        <v>41</v>
      </c>
      <c r="C135" s="15">
        <v>40</v>
      </c>
      <c r="D135" s="3">
        <v>0</v>
      </c>
      <c r="E135" s="3">
        <v>39</v>
      </c>
      <c r="F135" s="15"/>
      <c r="G135" s="15"/>
      <c r="H135" s="15"/>
      <c r="I135" s="3"/>
      <c r="J135" s="15"/>
      <c r="K135" s="15">
        <v>40.07</v>
      </c>
      <c r="L135" s="15">
        <v>40</v>
      </c>
      <c r="O135" s="15"/>
      <c r="P135" s="9">
        <f>SUM((B135:O135))</f>
        <v>200.07</v>
      </c>
      <c r="Q135" s="5"/>
    </row>
    <row r="136" spans="1:17" hidden="1" x14ac:dyDescent="0.3">
      <c r="A136" s="9" t="s">
        <v>91</v>
      </c>
      <c r="B136" s="20">
        <v>339521</v>
      </c>
      <c r="C136" s="27">
        <v>1170572</v>
      </c>
      <c r="D136" s="10">
        <v>19286</v>
      </c>
      <c r="E136" s="10">
        <v>9842</v>
      </c>
      <c r="F136" s="27"/>
      <c r="G136" s="27"/>
      <c r="H136" s="27"/>
      <c r="I136" s="10"/>
      <c r="J136" s="27"/>
      <c r="K136" s="27">
        <v>259554.26</v>
      </c>
      <c r="L136" s="27">
        <v>10000</v>
      </c>
      <c r="O136" s="27"/>
      <c r="P136" s="9">
        <f>SUM((B136:O136))</f>
        <v>1808775.26</v>
      </c>
      <c r="Q136" s="5"/>
    </row>
    <row r="137" spans="1:17" hidden="1" x14ac:dyDescent="0.3">
      <c r="A137" s="9" t="s">
        <v>92</v>
      </c>
      <c r="B137" s="20">
        <v>935735</v>
      </c>
      <c r="C137" s="7">
        <v>47313344</v>
      </c>
      <c r="D137" s="7">
        <f>((D134*D135)*52)*D131</f>
        <v>0</v>
      </c>
      <c r="E137" s="7">
        <f>((E134*E135)*52)*E132</f>
        <v>579683.52</v>
      </c>
      <c r="F137" s="7">
        <v>0</v>
      </c>
      <c r="G137" s="7">
        <v>0</v>
      </c>
      <c r="H137" s="7">
        <v>0</v>
      </c>
      <c r="I137" s="7">
        <f>((I134*I135)*52)*I131</f>
        <v>0</v>
      </c>
      <c r="J137" s="7">
        <v>0</v>
      </c>
      <c r="K137" s="7">
        <v>2522142.0379999997</v>
      </c>
      <c r="L137" s="7">
        <v>102960</v>
      </c>
      <c r="M137" s="9" t="s">
        <v>69</v>
      </c>
      <c r="N137" s="9" t="s">
        <v>69</v>
      </c>
      <c r="O137" s="7"/>
      <c r="P137" s="9">
        <f>SUM((B137:O137))</f>
        <v>51453864.558000006</v>
      </c>
      <c r="Q137" s="5"/>
    </row>
    <row r="138" spans="1:17" hidden="1" x14ac:dyDescent="0.3">
      <c r="A138" s="9" t="s">
        <v>43</v>
      </c>
      <c r="B138" s="20">
        <v>383651</v>
      </c>
      <c r="C138" s="1">
        <v>16938177</v>
      </c>
      <c r="D138" s="1">
        <f>(D137)*(0.276)</f>
        <v>0</v>
      </c>
      <c r="E138" s="1">
        <f>(E137)*(0.309)</f>
        <v>179122.20767999999</v>
      </c>
      <c r="F138" s="1">
        <v>0</v>
      </c>
      <c r="G138" s="1">
        <v>0</v>
      </c>
      <c r="H138" s="1">
        <v>0</v>
      </c>
      <c r="I138" s="1">
        <f>(I137)*(0.276)</f>
        <v>0</v>
      </c>
      <c r="J138" s="1">
        <v>0</v>
      </c>
      <c r="K138" s="1">
        <v>907971.13367999985</v>
      </c>
      <c r="L138" s="1">
        <v>43037.279999999999</v>
      </c>
      <c r="M138" s="9" t="s">
        <v>69</v>
      </c>
      <c r="N138" s="9" t="s">
        <v>69</v>
      </c>
      <c r="O138" s="1"/>
      <c r="P138" s="9">
        <f>SUM((B138:O138))</f>
        <v>18451958.621360004</v>
      </c>
      <c r="Q138" s="5"/>
    </row>
    <row r="139" spans="1:17" hidden="1" x14ac:dyDescent="0.3">
      <c r="A139" s="9" t="s">
        <v>44</v>
      </c>
      <c r="B139" s="9" t="s">
        <v>69</v>
      </c>
      <c r="C139" s="7" t="s">
        <v>69</v>
      </c>
      <c r="D139" s="7">
        <f>((D132*D133)*6384)</f>
        <v>0</v>
      </c>
      <c r="E139" s="7">
        <f>((E132*E133)*6384)</f>
        <v>6894.72</v>
      </c>
      <c r="F139" s="7">
        <v>0</v>
      </c>
      <c r="G139" s="7">
        <v>0</v>
      </c>
      <c r="H139" s="7">
        <v>0</v>
      </c>
      <c r="I139" s="7">
        <f>((I132*I133)*6384)</f>
        <v>0</v>
      </c>
      <c r="J139" s="7">
        <v>0</v>
      </c>
      <c r="K139" s="7">
        <v>0</v>
      </c>
      <c r="L139" s="7">
        <v>0</v>
      </c>
      <c r="M139" s="9" t="s">
        <v>69</v>
      </c>
      <c r="N139" s="9" t="s">
        <v>69</v>
      </c>
      <c r="O139" s="7"/>
      <c r="P139" s="9">
        <f>SUM((B139:O139))</f>
        <v>6894.72</v>
      </c>
      <c r="Q139" s="5"/>
    </row>
    <row r="140" spans="1:17" hidden="1" x14ac:dyDescent="0.3">
      <c r="A140" s="9" t="s">
        <v>93</v>
      </c>
      <c r="B140" s="9" t="s">
        <v>69</v>
      </c>
      <c r="C140" s="27" t="s">
        <v>69</v>
      </c>
      <c r="D140" s="10">
        <f>D132*(26-26)*359</f>
        <v>0</v>
      </c>
      <c r="E140" s="10">
        <f>E132*(26-26)*359</f>
        <v>0</v>
      </c>
      <c r="F140" s="27">
        <v>0</v>
      </c>
      <c r="G140" s="27">
        <v>0</v>
      </c>
      <c r="H140" s="27">
        <v>0</v>
      </c>
      <c r="I140" s="10">
        <f>I132*(26-26)*359</f>
        <v>0</v>
      </c>
      <c r="J140" s="27">
        <v>0</v>
      </c>
      <c r="K140" s="27">
        <v>0</v>
      </c>
      <c r="L140" s="27">
        <v>0</v>
      </c>
      <c r="M140" s="9" t="s">
        <v>69</v>
      </c>
      <c r="N140" s="9" t="s">
        <v>69</v>
      </c>
      <c r="O140" s="27"/>
      <c r="P140" s="9">
        <f>SUM((B140:O140))</f>
        <v>0</v>
      </c>
      <c r="Q140" s="5"/>
    </row>
    <row r="141" spans="1:17" hidden="1" x14ac:dyDescent="0.3">
      <c r="A141" s="9" t="s">
        <v>94</v>
      </c>
      <c r="B141" s="20">
        <v>383651</v>
      </c>
      <c r="C141" s="7">
        <v>16938177</v>
      </c>
      <c r="D141" s="7">
        <f>(D138+D139+D140)</f>
        <v>0</v>
      </c>
      <c r="E141" s="7">
        <f>(E138+E139+E140)</f>
        <v>186016.92767999999</v>
      </c>
      <c r="F141" s="7">
        <v>0</v>
      </c>
      <c r="G141" s="7">
        <v>0</v>
      </c>
      <c r="H141" s="7">
        <v>0</v>
      </c>
      <c r="I141" s="7">
        <f>(I138+I139+I140)</f>
        <v>0</v>
      </c>
      <c r="J141" s="7">
        <v>0</v>
      </c>
      <c r="K141" s="7">
        <v>907971.13367999985</v>
      </c>
      <c r="L141" s="7">
        <v>43037.279999999999</v>
      </c>
      <c r="M141" s="9" t="s">
        <v>69</v>
      </c>
      <c r="N141" s="9" t="s">
        <v>69</v>
      </c>
      <c r="O141" s="7"/>
      <c r="P141" s="20">
        <f>SUM((B141:O141))</f>
        <v>18458853.341360003</v>
      </c>
      <c r="Q141" s="5"/>
    </row>
    <row r="142" spans="1:17" hidden="1" x14ac:dyDescent="0.3">
      <c r="A142" s="9" t="s">
        <v>95</v>
      </c>
      <c r="B142" s="9">
        <v>112.9978022</v>
      </c>
      <c r="C142" s="14">
        <v>1447.000027</v>
      </c>
      <c r="D142" s="9">
        <f>(D141/D136)*100</f>
        <v>0</v>
      </c>
      <c r="E142" s="9">
        <f>(E141/E136)*100</f>
        <v>1890.0317789067262</v>
      </c>
      <c r="F142" s="14">
        <v>0</v>
      </c>
      <c r="G142" s="14">
        <v>0</v>
      </c>
      <c r="H142" s="14">
        <v>0</v>
      </c>
      <c r="I142" s="9" t="e">
        <f>(I141/I136)*100</f>
        <v>#DIV/0!</v>
      </c>
      <c r="J142" s="14">
        <v>0</v>
      </c>
      <c r="K142" s="14">
        <v>349.81939178343663</v>
      </c>
      <c r="L142" s="14">
        <v>430.37279999999998</v>
      </c>
      <c r="M142" s="9">
        <v>0</v>
      </c>
      <c r="N142" s="9">
        <v>0</v>
      </c>
      <c r="O142" s="14"/>
      <c r="P142" s="9" t="e">
        <f>SUM((B142:O142))</f>
        <v>#DIV/0!</v>
      </c>
      <c r="Q142" s="5"/>
    </row>
    <row r="143" spans="1:17" hidden="1" x14ac:dyDescent="0.3">
      <c r="A143" s="11" t="s">
        <v>47</v>
      </c>
      <c r="B143" s="16">
        <v>1.1299999999999999</v>
      </c>
      <c r="C143" s="33">
        <v>14.47</v>
      </c>
      <c r="D143" s="21">
        <f>+D142*0.01</f>
        <v>0</v>
      </c>
      <c r="E143" s="21">
        <f>+E142*0.01</f>
        <v>18.900317789067262</v>
      </c>
      <c r="F143" s="21">
        <v>0</v>
      </c>
      <c r="G143" s="21">
        <v>0</v>
      </c>
      <c r="H143" s="21">
        <v>0</v>
      </c>
      <c r="I143" s="21" t="e">
        <f>+I142*0.01</f>
        <v>#DIV/0!</v>
      </c>
      <c r="J143" s="21">
        <v>0</v>
      </c>
      <c r="K143" s="21">
        <v>3.4981939178343664</v>
      </c>
      <c r="L143" s="21">
        <v>4.3037279999999996</v>
      </c>
      <c r="M143" s="9">
        <v>0</v>
      </c>
      <c r="N143" s="9">
        <v>0</v>
      </c>
      <c r="O143" s="21"/>
      <c r="P143" s="9" t="e">
        <f>SUM((B143:O143))</f>
        <v>#DIV/0!</v>
      </c>
      <c r="Q143" s="5"/>
    </row>
    <row r="144" spans="1:17" hidden="1" x14ac:dyDescent="0.3">
      <c r="C144" s="14"/>
      <c r="F144" s="14"/>
      <c r="G144" s="14"/>
      <c r="H144" s="14"/>
      <c r="J144" s="14"/>
      <c r="K144" s="14"/>
      <c r="L144" s="14"/>
      <c r="O144" s="14"/>
      <c r="P144" s="9"/>
      <c r="Q144" s="5"/>
    </row>
    <row r="145" spans="1:17" hidden="1" x14ac:dyDescent="0.3">
      <c r="A145" s="9" t="s">
        <v>12</v>
      </c>
      <c r="B145" s="9">
        <v>42533.4</v>
      </c>
      <c r="C145" s="14">
        <v>57699.199999999997</v>
      </c>
      <c r="D145" s="9">
        <f>(D134*D135*52)</f>
        <v>0</v>
      </c>
      <c r="E145" s="9">
        <f>(E134*E135*52)</f>
        <v>32204.640000000003</v>
      </c>
      <c r="F145" s="14">
        <v>0</v>
      </c>
      <c r="G145" s="14">
        <v>0</v>
      </c>
      <c r="H145" s="14">
        <v>0</v>
      </c>
      <c r="I145" s="9">
        <f>(I134*I135*52)</f>
        <v>0</v>
      </c>
      <c r="J145" s="14">
        <v>0</v>
      </c>
      <c r="K145" s="14">
        <v>58654.465999999993</v>
      </c>
      <c r="L145" s="14">
        <v>102960</v>
      </c>
      <c r="M145" s="9">
        <v>0</v>
      </c>
      <c r="N145" s="9">
        <v>0</v>
      </c>
      <c r="O145" s="14"/>
      <c r="P145" s="9">
        <f>SUM((B145:O145))</f>
        <v>294051.70600000001</v>
      </c>
      <c r="Q145" s="5"/>
    </row>
    <row r="146" spans="1:17" hidden="1" x14ac:dyDescent="0.3">
      <c r="A146" s="9" t="s">
        <v>13</v>
      </c>
      <c r="B146" s="9">
        <v>21033.4</v>
      </c>
      <c r="C146" s="14">
        <v>36199.199999999997</v>
      </c>
      <c r="D146" s="9">
        <f>(D134*D135*52)-21500</f>
        <v>-21500</v>
      </c>
      <c r="E146" s="9">
        <f>(E134*E135*52)-21500</f>
        <v>10704.640000000003</v>
      </c>
      <c r="F146" s="14">
        <v>-21500</v>
      </c>
      <c r="G146" s="14">
        <v>-21500</v>
      </c>
      <c r="H146" s="14">
        <v>-21500</v>
      </c>
      <c r="I146" s="9">
        <f>(I134*I135*52)-21500</f>
        <v>-21500</v>
      </c>
      <c r="J146" s="14">
        <v>-21500</v>
      </c>
      <c r="K146" s="14">
        <v>37154.465999999993</v>
      </c>
      <c r="L146" s="14">
        <v>81460</v>
      </c>
      <c r="M146" s="9">
        <v>-21500</v>
      </c>
      <c r="N146" s="9">
        <v>-21500</v>
      </c>
      <c r="O146" s="14"/>
      <c r="P146" s="9">
        <f>SUM((B146:O146))</f>
        <v>14551.705999999998</v>
      </c>
      <c r="Q146" s="5"/>
    </row>
    <row r="147" spans="1:17" hidden="1" x14ac:dyDescent="0.3">
      <c r="C147" s="14"/>
      <c r="F147" s="14"/>
      <c r="G147" s="14"/>
      <c r="H147" s="14"/>
      <c r="J147" s="14"/>
      <c r="K147" s="14"/>
      <c r="L147" s="14"/>
      <c r="O147" s="14"/>
      <c r="P147" s="9"/>
      <c r="Q147" s="5"/>
    </row>
    <row r="148" spans="1:17" hidden="1" x14ac:dyDescent="0.3">
      <c r="A148" s="11" t="s">
        <v>96</v>
      </c>
      <c r="B148" s="9" t="s">
        <v>84</v>
      </c>
      <c r="C148" s="14" t="s">
        <v>84</v>
      </c>
      <c r="D148" s="9" t="s">
        <v>84</v>
      </c>
      <c r="E148" s="9" t="s">
        <v>84</v>
      </c>
      <c r="F148" s="14" t="s">
        <v>84</v>
      </c>
      <c r="G148" s="14" t="s">
        <v>84</v>
      </c>
      <c r="H148" s="14" t="s">
        <v>84</v>
      </c>
      <c r="I148" s="9" t="s">
        <v>84</v>
      </c>
      <c r="J148" s="14" t="s">
        <v>84</v>
      </c>
      <c r="K148" s="14" t="s">
        <v>84</v>
      </c>
      <c r="L148" s="14" t="s">
        <v>84</v>
      </c>
      <c r="M148" s="9" t="s">
        <v>84</v>
      </c>
      <c r="N148" s="9" t="s">
        <v>84</v>
      </c>
      <c r="O148" s="14"/>
      <c r="P148" s="9"/>
      <c r="Q148" s="5"/>
    </row>
    <row r="149" spans="1:17" hidden="1" x14ac:dyDescent="0.3">
      <c r="A149" s="9" t="s">
        <v>85</v>
      </c>
      <c r="C149" s="15"/>
      <c r="D149" s="3"/>
      <c r="E149" s="3">
        <v>49</v>
      </c>
      <c r="F149" s="15"/>
      <c r="G149" s="15"/>
      <c r="H149" s="15"/>
      <c r="I149" s="3"/>
      <c r="J149" s="15"/>
      <c r="K149" s="15"/>
      <c r="L149" s="15">
        <v>66</v>
      </c>
      <c r="N149" s="9">
        <v>178</v>
      </c>
      <c r="O149" s="15"/>
      <c r="P149" s="9">
        <f>SUM((B149:O149))</f>
        <v>293</v>
      </c>
      <c r="Q149" s="5"/>
    </row>
    <row r="150" spans="1:17" hidden="1" x14ac:dyDescent="0.3">
      <c r="A150" s="9" t="s">
        <v>86</v>
      </c>
      <c r="C150" s="15"/>
      <c r="D150" s="3"/>
      <c r="E150" s="3">
        <v>13</v>
      </c>
      <c r="F150" s="15"/>
      <c r="G150" s="15"/>
      <c r="H150" s="15"/>
      <c r="I150" s="3"/>
      <c r="J150" s="15"/>
      <c r="K150" s="15"/>
      <c r="L150" s="15">
        <v>38</v>
      </c>
      <c r="N150" s="9">
        <v>157</v>
      </c>
      <c r="O150" s="15"/>
      <c r="P150" s="9">
        <f>SUM((B150:O150))</f>
        <v>208</v>
      </c>
      <c r="Q150" s="5"/>
    </row>
    <row r="151" spans="1:17" hidden="1" x14ac:dyDescent="0.3">
      <c r="A151" s="9" t="s">
        <v>87</v>
      </c>
      <c r="C151" s="15"/>
      <c r="D151" s="3"/>
      <c r="E151" s="3">
        <v>10</v>
      </c>
      <c r="F151" s="15"/>
      <c r="G151" s="15"/>
      <c r="H151" s="15"/>
      <c r="I151" s="3"/>
      <c r="J151" s="15"/>
      <c r="K151" s="15"/>
      <c r="L151" s="15">
        <v>24</v>
      </c>
      <c r="N151" s="9">
        <v>148</v>
      </c>
      <c r="O151" s="15"/>
      <c r="P151" s="9">
        <f>SUM((B151:O151))</f>
        <v>182</v>
      </c>
      <c r="Q151" s="5"/>
    </row>
    <row r="152" spans="1:17" hidden="1" x14ac:dyDescent="0.3">
      <c r="A152" s="9" t="s">
        <v>88</v>
      </c>
      <c r="B152" s="24">
        <v>0</v>
      </c>
      <c r="C152" s="25">
        <v>0</v>
      </c>
      <c r="D152" s="26">
        <v>0</v>
      </c>
      <c r="E152" s="26">
        <v>0</v>
      </c>
      <c r="F152" s="25">
        <v>0</v>
      </c>
      <c r="G152" s="25">
        <v>0</v>
      </c>
      <c r="H152" s="25">
        <v>0</v>
      </c>
      <c r="I152" s="26">
        <v>0</v>
      </c>
      <c r="J152" s="25">
        <v>0</v>
      </c>
      <c r="K152" s="25">
        <v>0</v>
      </c>
      <c r="L152" s="25">
        <v>0</v>
      </c>
      <c r="M152" s="24">
        <v>0</v>
      </c>
      <c r="N152" s="24">
        <v>0.03</v>
      </c>
      <c r="O152" s="25"/>
      <c r="P152" s="9">
        <f>SUM((B152:O152))</f>
        <v>0.03</v>
      </c>
      <c r="Q152" s="5"/>
    </row>
    <row r="153" spans="1:17" hidden="1" x14ac:dyDescent="0.3">
      <c r="A153" s="9" t="s">
        <v>89</v>
      </c>
      <c r="C153" s="2"/>
      <c r="D153" s="2"/>
      <c r="E153" s="2">
        <v>16.41</v>
      </c>
      <c r="F153" s="2"/>
      <c r="G153" s="2"/>
      <c r="H153" s="2"/>
      <c r="I153" s="2"/>
      <c r="J153" s="2"/>
      <c r="K153" s="2"/>
      <c r="L153" s="2">
        <v>18.649999999999999</v>
      </c>
      <c r="N153" s="16">
        <v>16.940000000000001</v>
      </c>
      <c r="O153" s="2"/>
      <c r="P153" s="9">
        <f>SUM((B153:O153))</f>
        <v>52</v>
      </c>
      <c r="Q153" s="5"/>
    </row>
    <row r="154" spans="1:17" hidden="1" x14ac:dyDescent="0.3">
      <c r="A154" s="9" t="s">
        <v>90</v>
      </c>
      <c r="C154" s="15"/>
      <c r="D154" s="3"/>
      <c r="E154" s="3">
        <v>37</v>
      </c>
      <c r="F154" s="15"/>
      <c r="G154" s="15"/>
      <c r="H154" s="15"/>
      <c r="I154" s="3"/>
      <c r="J154" s="15"/>
      <c r="K154" s="15"/>
      <c r="L154" s="15">
        <v>33</v>
      </c>
      <c r="N154" s="9">
        <v>39.799999999999997</v>
      </c>
      <c r="O154" s="15"/>
      <c r="P154" s="9">
        <f>SUM((B154:O154))</f>
        <v>109.8</v>
      </c>
      <c r="Q154" s="5"/>
    </row>
    <row r="155" spans="1:17" hidden="1" x14ac:dyDescent="0.3">
      <c r="A155" s="9" t="s">
        <v>91</v>
      </c>
      <c r="C155" s="27"/>
      <c r="D155" s="10"/>
      <c r="E155" s="10">
        <v>81727</v>
      </c>
      <c r="F155" s="27"/>
      <c r="G155" s="27"/>
      <c r="H155" s="27"/>
      <c r="I155" s="10"/>
      <c r="J155" s="27"/>
      <c r="K155" s="27"/>
      <c r="L155" s="27">
        <v>116381</v>
      </c>
      <c r="N155" s="20">
        <v>156954</v>
      </c>
      <c r="O155" s="27"/>
      <c r="P155" s="9">
        <f>SUM((B155:O155))</f>
        <v>355062</v>
      </c>
      <c r="Q155" s="5"/>
    </row>
    <row r="156" spans="1:17" hidden="1" x14ac:dyDescent="0.3">
      <c r="A156" s="9" t="s">
        <v>92</v>
      </c>
      <c r="B156" s="9" t="s">
        <v>69</v>
      </c>
      <c r="C156" s="7" t="s">
        <v>69</v>
      </c>
      <c r="D156" s="7">
        <f>((D153*D154)*52)*D150</f>
        <v>0</v>
      </c>
      <c r="E156" s="7">
        <f>((E153*E154)*52)*E151</f>
        <v>315728.39999999997</v>
      </c>
      <c r="F156" s="7">
        <v>0</v>
      </c>
      <c r="G156" s="7">
        <v>0</v>
      </c>
      <c r="H156" s="7">
        <v>0</v>
      </c>
      <c r="I156" s="7">
        <f>((I153*I154)*52)*I150</f>
        <v>0</v>
      </c>
      <c r="J156" s="7">
        <v>0</v>
      </c>
      <c r="K156" s="7">
        <v>0</v>
      </c>
      <c r="L156" s="7">
        <v>768081.6</v>
      </c>
      <c r="M156" s="9" t="s">
        <v>69</v>
      </c>
      <c r="N156" s="20">
        <v>5188736</v>
      </c>
      <c r="O156" s="7"/>
      <c r="P156" s="9">
        <f>SUM((B156:O156))</f>
        <v>6272546</v>
      </c>
      <c r="Q156" s="5"/>
    </row>
    <row r="157" spans="1:17" hidden="1" x14ac:dyDescent="0.3">
      <c r="A157" s="9" t="s">
        <v>43</v>
      </c>
      <c r="B157" s="9" t="s">
        <v>69</v>
      </c>
      <c r="C157" s="1" t="s">
        <v>69</v>
      </c>
      <c r="D157" s="1">
        <f>(D156)*(0.276)</f>
        <v>0</v>
      </c>
      <c r="E157" s="1">
        <f>(E156)*(0.308)</f>
        <v>97244.347199999989</v>
      </c>
      <c r="F157" s="1">
        <v>0</v>
      </c>
      <c r="G157" s="1">
        <v>0</v>
      </c>
      <c r="H157" s="1">
        <v>0</v>
      </c>
      <c r="I157" s="1">
        <f>(I156)*(0.276)</f>
        <v>0</v>
      </c>
      <c r="J157" s="1">
        <v>0</v>
      </c>
      <c r="K157" s="1">
        <v>0</v>
      </c>
      <c r="L157" s="1">
        <v>237337.2144</v>
      </c>
      <c r="M157" s="9" t="s">
        <v>69</v>
      </c>
      <c r="N157" s="20">
        <v>1634452</v>
      </c>
      <c r="O157" s="1"/>
      <c r="P157" s="9">
        <f>SUM((B157:O157))</f>
        <v>1969033.5616000001</v>
      </c>
      <c r="Q157" s="5"/>
    </row>
    <row r="158" spans="1:17" hidden="1" x14ac:dyDescent="0.3">
      <c r="A158" s="9" t="s">
        <v>44</v>
      </c>
      <c r="B158" s="9" t="s">
        <v>69</v>
      </c>
      <c r="C158" s="7" t="s">
        <v>69</v>
      </c>
      <c r="D158" s="7">
        <f>((D151*D152)*6384)</f>
        <v>0</v>
      </c>
      <c r="E158" s="7">
        <f>((E151*E152)*6384)</f>
        <v>0</v>
      </c>
      <c r="F158" s="7">
        <v>0</v>
      </c>
      <c r="G158" s="7">
        <v>0</v>
      </c>
      <c r="H158" s="7">
        <v>0</v>
      </c>
      <c r="I158" s="7">
        <f>((I151*I152)*6384)</f>
        <v>0</v>
      </c>
      <c r="J158" s="7">
        <v>0</v>
      </c>
      <c r="K158" s="7">
        <v>0</v>
      </c>
      <c r="L158" s="7">
        <v>0</v>
      </c>
      <c r="M158" s="9" t="s">
        <v>69</v>
      </c>
      <c r="N158" s="20">
        <v>28345</v>
      </c>
      <c r="O158" s="7"/>
      <c r="P158" s="9">
        <f>SUM((B158:O158))</f>
        <v>28345</v>
      </c>
      <c r="Q158" s="5"/>
    </row>
    <row r="159" spans="1:17" hidden="1" x14ac:dyDescent="0.3">
      <c r="A159" s="9" t="s">
        <v>93</v>
      </c>
      <c r="B159" s="9" t="s">
        <v>69</v>
      </c>
      <c r="C159" s="27" t="s">
        <v>69</v>
      </c>
      <c r="D159" s="10">
        <f>D151*(26-26)*359</f>
        <v>0</v>
      </c>
      <c r="E159" s="10">
        <f>E151*(26-26)*359</f>
        <v>0</v>
      </c>
      <c r="F159" s="27">
        <v>0</v>
      </c>
      <c r="G159" s="27">
        <v>0</v>
      </c>
      <c r="H159" s="27">
        <v>0</v>
      </c>
      <c r="I159" s="10">
        <f>I151*(26-26)*359</f>
        <v>0</v>
      </c>
      <c r="J159" s="27">
        <v>0</v>
      </c>
      <c r="K159" s="27">
        <v>0</v>
      </c>
      <c r="L159" s="27">
        <v>0</v>
      </c>
      <c r="M159" s="9" t="s">
        <v>69</v>
      </c>
      <c r="N159" s="9" t="s">
        <v>69</v>
      </c>
      <c r="O159" s="27"/>
      <c r="P159" s="9">
        <f>SUM((B159:O159))</f>
        <v>0</v>
      </c>
      <c r="Q159" s="5"/>
    </row>
    <row r="160" spans="1:17" hidden="1" x14ac:dyDescent="0.3">
      <c r="A160" s="9" t="s">
        <v>94</v>
      </c>
      <c r="B160" s="9" t="s">
        <v>69</v>
      </c>
      <c r="C160" s="7" t="s">
        <v>69</v>
      </c>
      <c r="D160" s="7">
        <f>(D157+D158+D159)</f>
        <v>0</v>
      </c>
      <c r="E160" s="7">
        <f>(E157+E158+E159)</f>
        <v>97244.347199999989</v>
      </c>
      <c r="F160" s="7">
        <v>0</v>
      </c>
      <c r="G160" s="7">
        <v>0</v>
      </c>
      <c r="H160" s="7">
        <v>0</v>
      </c>
      <c r="I160" s="7">
        <f>(I157+I158+I159)</f>
        <v>0</v>
      </c>
      <c r="J160" s="7">
        <v>0</v>
      </c>
      <c r="K160" s="7">
        <v>0</v>
      </c>
      <c r="L160" s="7">
        <v>237337.2144</v>
      </c>
      <c r="M160" s="9" t="s">
        <v>69</v>
      </c>
      <c r="N160" s="20">
        <v>1662797</v>
      </c>
      <c r="O160" s="7"/>
      <c r="P160" s="9">
        <f>SUM((B160:O160))</f>
        <v>1997378.5616000001</v>
      </c>
      <c r="Q160" s="5"/>
    </row>
    <row r="161" spans="1:17" hidden="1" x14ac:dyDescent="0.3">
      <c r="A161" s="9" t="s">
        <v>95</v>
      </c>
      <c r="B161" s="9">
        <v>0</v>
      </c>
      <c r="C161" s="14" t="e">
        <v>#DIV/0!</v>
      </c>
      <c r="D161" s="9" t="e">
        <f>(D160/D155)*100</f>
        <v>#DIV/0!</v>
      </c>
      <c r="E161" s="9">
        <f>(E160/E155)*100</f>
        <v>118.98680631859726</v>
      </c>
      <c r="F161" s="14">
        <v>0</v>
      </c>
      <c r="G161" s="14">
        <v>0</v>
      </c>
      <c r="H161" s="14">
        <v>0</v>
      </c>
      <c r="I161" s="9">
        <v>0</v>
      </c>
      <c r="J161" s="14">
        <v>0</v>
      </c>
      <c r="K161" s="14">
        <v>0</v>
      </c>
      <c r="L161" s="14">
        <v>203.93123826054079</v>
      </c>
      <c r="M161" s="9">
        <v>0</v>
      </c>
      <c r="N161" s="9">
        <v>1059.4165539999999</v>
      </c>
      <c r="O161" s="14"/>
      <c r="P161" s="9" t="e">
        <f>SUM((B161:O161))</f>
        <v>#DIV/0!</v>
      </c>
      <c r="Q161" s="5"/>
    </row>
    <row r="162" spans="1:17" hidden="1" x14ac:dyDescent="0.3">
      <c r="A162" s="11" t="s">
        <v>47</v>
      </c>
      <c r="B162" s="9">
        <v>0</v>
      </c>
      <c r="C162" s="21" t="e">
        <v>#DIV/0!</v>
      </c>
      <c r="D162" s="21" t="e">
        <f>+D161*0.01</f>
        <v>#DIV/0!</v>
      </c>
      <c r="E162" s="21">
        <f>+E161*0.01</f>
        <v>1.1898680631859726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2.039312382605408</v>
      </c>
      <c r="M162" s="9">
        <v>0</v>
      </c>
      <c r="N162" s="16">
        <v>10.59</v>
      </c>
      <c r="O162" s="21"/>
      <c r="P162" s="9" t="e">
        <f>SUM((B162:O162))</f>
        <v>#DIV/0!</v>
      </c>
      <c r="Q162" s="5"/>
    </row>
    <row r="163" spans="1:17" hidden="1" x14ac:dyDescent="0.3">
      <c r="C163" s="14"/>
      <c r="F163" s="14"/>
      <c r="G163" s="14"/>
      <c r="H163" s="14"/>
      <c r="J163" s="14"/>
      <c r="K163" s="14"/>
      <c r="L163" s="14"/>
      <c r="O163" s="14"/>
      <c r="P163" s="9"/>
      <c r="Q163" s="5"/>
    </row>
    <row r="164" spans="1:17" hidden="1" x14ac:dyDescent="0.3">
      <c r="A164" s="9" t="s">
        <v>12</v>
      </c>
      <c r="B164" s="9">
        <v>0</v>
      </c>
      <c r="C164" s="14">
        <v>0</v>
      </c>
      <c r="D164" s="9">
        <f>(D153*D154*52)</f>
        <v>0</v>
      </c>
      <c r="E164" s="9">
        <f>(E153*E154*52)</f>
        <v>31572.839999999997</v>
      </c>
      <c r="F164" s="14">
        <v>0</v>
      </c>
      <c r="G164" s="14">
        <v>0</v>
      </c>
      <c r="H164" s="14">
        <v>0</v>
      </c>
      <c r="I164" s="9">
        <f>(I153*I154*52)</f>
        <v>0</v>
      </c>
      <c r="J164" s="14">
        <v>0</v>
      </c>
      <c r="K164" s="14">
        <v>0</v>
      </c>
      <c r="L164" s="14">
        <v>32003.399999999998</v>
      </c>
      <c r="M164" s="9">
        <v>0</v>
      </c>
      <c r="N164" s="9">
        <v>35059.023999999998</v>
      </c>
      <c r="O164" s="14"/>
      <c r="P164" s="9">
        <f>SUM((B164:O164))</f>
        <v>98635.263999999996</v>
      </c>
      <c r="Q164" s="5"/>
    </row>
    <row r="165" spans="1:17" hidden="1" x14ac:dyDescent="0.3">
      <c r="A165" s="9" t="s">
        <v>13</v>
      </c>
      <c r="B165" s="9">
        <v>-21500</v>
      </c>
      <c r="C165" s="14">
        <v>-21500</v>
      </c>
      <c r="D165" s="9">
        <f>(D153*D154*52)-21500</f>
        <v>-21500</v>
      </c>
      <c r="E165" s="9">
        <f>(E153*E154*52)-21500</f>
        <v>10072.839999999997</v>
      </c>
      <c r="F165" s="14">
        <v>-21500</v>
      </c>
      <c r="G165" s="14">
        <v>-21500</v>
      </c>
      <c r="H165" s="14">
        <v>-21500</v>
      </c>
      <c r="I165" s="9">
        <f>(I153*I154*52)-21500</f>
        <v>-21500</v>
      </c>
      <c r="J165" s="14">
        <v>-21500</v>
      </c>
      <c r="K165" s="14">
        <v>-21500</v>
      </c>
      <c r="L165" s="14">
        <v>10503.399999999998</v>
      </c>
      <c r="M165" s="9">
        <v>-21500</v>
      </c>
      <c r="N165" s="9">
        <v>13559.023999999999</v>
      </c>
      <c r="O165" s="14"/>
      <c r="P165" s="9">
        <f>SUM((B165:O165))</f>
        <v>-180864.736</v>
      </c>
      <c r="Q165" s="5"/>
    </row>
    <row r="166" spans="1:17" hidden="1" x14ac:dyDescent="0.3">
      <c r="C166" s="14"/>
      <c r="F166" s="14"/>
      <c r="G166" s="14"/>
      <c r="H166" s="14"/>
      <c r="J166" s="14"/>
      <c r="K166" s="14"/>
      <c r="L166" s="14"/>
      <c r="O166" s="14"/>
      <c r="P166" s="9"/>
      <c r="Q166" s="5"/>
    </row>
    <row r="167" spans="1:17" hidden="1" x14ac:dyDescent="0.3">
      <c r="A167" s="11" t="s">
        <v>96</v>
      </c>
      <c r="B167" s="9" t="s">
        <v>84</v>
      </c>
      <c r="C167" s="14" t="s">
        <v>84</v>
      </c>
      <c r="D167" s="9" t="s">
        <v>84</v>
      </c>
      <c r="E167" s="9" t="s">
        <v>84</v>
      </c>
      <c r="F167" s="14" t="s">
        <v>84</v>
      </c>
      <c r="G167" s="14" t="s">
        <v>84</v>
      </c>
      <c r="H167" s="14" t="s">
        <v>84</v>
      </c>
      <c r="I167" s="9" t="s">
        <v>84</v>
      </c>
      <c r="J167" s="14" t="s">
        <v>84</v>
      </c>
      <c r="K167" s="14" t="s">
        <v>84</v>
      </c>
      <c r="L167" s="14" t="s">
        <v>84</v>
      </c>
      <c r="M167" s="9" t="s">
        <v>84</v>
      </c>
      <c r="N167" s="9" t="s">
        <v>84</v>
      </c>
      <c r="O167" s="14"/>
      <c r="P167" s="9"/>
      <c r="Q167" s="5"/>
    </row>
    <row r="168" spans="1:17" hidden="1" x14ac:dyDescent="0.3">
      <c r="A168" s="9" t="s">
        <v>85</v>
      </c>
      <c r="C168" s="15"/>
      <c r="D168" s="3"/>
      <c r="E168" s="3">
        <v>57</v>
      </c>
      <c r="F168" s="15"/>
      <c r="G168" s="15"/>
      <c r="H168" s="15"/>
      <c r="I168" s="3"/>
      <c r="J168" s="15"/>
      <c r="K168" s="15"/>
      <c r="L168" s="15"/>
      <c r="O168" s="15"/>
      <c r="P168" s="9">
        <f>SUM((B168:O168))</f>
        <v>57</v>
      </c>
      <c r="Q168" s="5"/>
    </row>
    <row r="169" spans="1:17" hidden="1" x14ac:dyDescent="0.3">
      <c r="A169" s="9" t="s">
        <v>86</v>
      </c>
      <c r="C169" s="15"/>
      <c r="D169" s="3"/>
      <c r="E169" s="3">
        <v>44</v>
      </c>
      <c r="F169" s="15"/>
      <c r="G169" s="15"/>
      <c r="H169" s="15"/>
      <c r="I169" s="3"/>
      <c r="J169" s="15"/>
      <c r="K169" s="15"/>
      <c r="L169" s="15"/>
      <c r="O169" s="15"/>
      <c r="P169" s="9">
        <f>SUM((B169:O169))</f>
        <v>44</v>
      </c>
      <c r="Q169" s="5"/>
    </row>
    <row r="170" spans="1:17" hidden="1" x14ac:dyDescent="0.3">
      <c r="A170" s="9" t="s">
        <v>87</v>
      </c>
      <c r="C170" s="15"/>
      <c r="D170" s="3"/>
      <c r="E170" s="3">
        <v>35</v>
      </c>
      <c r="F170" s="15"/>
      <c r="G170" s="15"/>
      <c r="H170" s="15"/>
      <c r="I170" s="3"/>
      <c r="J170" s="15"/>
      <c r="K170" s="15"/>
      <c r="L170" s="15"/>
      <c r="O170" s="15"/>
      <c r="P170" s="9">
        <f>SUM((B170:O170))</f>
        <v>35</v>
      </c>
      <c r="Q170" s="5"/>
    </row>
    <row r="171" spans="1:17" hidden="1" x14ac:dyDescent="0.3">
      <c r="A171" s="9" t="s">
        <v>88</v>
      </c>
      <c r="B171" s="24">
        <v>0</v>
      </c>
      <c r="C171" s="25">
        <v>0</v>
      </c>
      <c r="D171" s="26">
        <v>0</v>
      </c>
      <c r="E171" s="26">
        <v>0.06</v>
      </c>
      <c r="F171" s="25">
        <v>0</v>
      </c>
      <c r="G171" s="25">
        <v>0</v>
      </c>
      <c r="H171" s="25">
        <v>0</v>
      </c>
      <c r="I171" s="26">
        <v>0</v>
      </c>
      <c r="J171" s="25">
        <v>0</v>
      </c>
      <c r="K171" s="25">
        <v>0</v>
      </c>
      <c r="L171" s="25">
        <v>0</v>
      </c>
      <c r="M171" s="24">
        <v>0</v>
      </c>
      <c r="N171" s="24">
        <v>0</v>
      </c>
      <c r="O171" s="25"/>
      <c r="P171" s="9">
        <f>SUM((B171:O171))</f>
        <v>0.06</v>
      </c>
      <c r="Q171" s="5"/>
    </row>
    <row r="172" spans="1:17" hidden="1" x14ac:dyDescent="0.3">
      <c r="A172" s="9" t="s">
        <v>89</v>
      </c>
      <c r="C172" s="2"/>
      <c r="D172" s="2"/>
      <c r="E172" s="2">
        <v>22.83</v>
      </c>
      <c r="F172" s="2"/>
      <c r="G172" s="2"/>
      <c r="H172" s="2"/>
      <c r="I172" s="2"/>
      <c r="J172" s="2"/>
      <c r="K172" s="2"/>
      <c r="L172" s="2"/>
      <c r="O172" s="2"/>
      <c r="P172" s="9">
        <f>SUM((B172:O172))</f>
        <v>22.83</v>
      </c>
      <c r="Q172" s="5"/>
    </row>
    <row r="173" spans="1:17" hidden="1" x14ac:dyDescent="0.3">
      <c r="A173" s="9" t="s">
        <v>90</v>
      </c>
      <c r="C173" s="15"/>
      <c r="D173" s="3"/>
      <c r="E173" s="3">
        <v>40</v>
      </c>
      <c r="F173" s="15"/>
      <c r="G173" s="15"/>
      <c r="H173" s="15"/>
      <c r="I173" s="3"/>
      <c r="J173" s="15"/>
      <c r="K173" s="15"/>
      <c r="L173" s="15"/>
      <c r="O173" s="15"/>
      <c r="P173" s="9">
        <f>SUM((B173:O173))</f>
        <v>40</v>
      </c>
      <c r="Q173" s="5"/>
    </row>
    <row r="174" spans="1:17" hidden="1" x14ac:dyDescent="0.3">
      <c r="A174" s="9" t="s">
        <v>91</v>
      </c>
      <c r="C174" s="27"/>
      <c r="D174" s="10"/>
      <c r="E174" s="10">
        <v>88520</v>
      </c>
      <c r="F174" s="27"/>
      <c r="G174" s="27"/>
      <c r="H174" s="27"/>
      <c r="I174" s="10"/>
      <c r="J174" s="27"/>
      <c r="K174" s="27"/>
      <c r="L174" s="27"/>
      <c r="O174" s="27"/>
      <c r="P174" s="9">
        <f>SUM((B174:O174))</f>
        <v>88520</v>
      </c>
      <c r="Q174" s="5"/>
    </row>
    <row r="175" spans="1:17" hidden="1" x14ac:dyDescent="0.3">
      <c r="A175" s="9" t="s">
        <v>92</v>
      </c>
      <c r="B175" s="9" t="s">
        <v>69</v>
      </c>
      <c r="C175" s="7" t="s">
        <v>69</v>
      </c>
      <c r="D175" s="7">
        <f>((D172*D173)*52)*D169</f>
        <v>0</v>
      </c>
      <c r="E175" s="7">
        <f>((E172*E173)*52)*E170</f>
        <v>1662023.9999999998</v>
      </c>
      <c r="F175" s="7">
        <v>0</v>
      </c>
      <c r="G175" s="7">
        <v>0</v>
      </c>
      <c r="H175" s="7">
        <v>0</v>
      </c>
      <c r="I175" s="7">
        <f>((I172*I173)*52)*I169</f>
        <v>0</v>
      </c>
      <c r="J175" s="7">
        <v>0</v>
      </c>
      <c r="K175" s="7">
        <v>0</v>
      </c>
      <c r="L175" s="7">
        <v>0</v>
      </c>
      <c r="M175" s="9" t="s">
        <v>69</v>
      </c>
      <c r="N175" s="9" t="s">
        <v>69</v>
      </c>
      <c r="O175" s="7"/>
      <c r="P175" s="9">
        <f>SUM((B175:O175))</f>
        <v>1662023.9999999998</v>
      </c>
      <c r="Q175" s="5"/>
    </row>
    <row r="176" spans="1:17" hidden="1" x14ac:dyDescent="0.3">
      <c r="A176" s="9" t="s">
        <v>43</v>
      </c>
      <c r="B176" s="9" t="s">
        <v>69</v>
      </c>
      <c r="C176" s="1" t="s">
        <v>69</v>
      </c>
      <c r="D176" s="1">
        <f>(D175)*(0.276)</f>
        <v>0</v>
      </c>
      <c r="E176" s="1">
        <f>(E175)*(0.344)</f>
        <v>571736.25599999982</v>
      </c>
      <c r="F176" s="1">
        <v>0</v>
      </c>
      <c r="G176" s="1">
        <v>0</v>
      </c>
      <c r="H176" s="1">
        <v>0</v>
      </c>
      <c r="I176" s="1">
        <f>(I175)*(0.276)</f>
        <v>0</v>
      </c>
      <c r="J176" s="1">
        <v>0</v>
      </c>
      <c r="K176" s="1">
        <v>0</v>
      </c>
      <c r="L176" s="1">
        <v>0</v>
      </c>
      <c r="M176" s="9" t="s">
        <v>69</v>
      </c>
      <c r="N176" s="9" t="s">
        <v>69</v>
      </c>
      <c r="O176" s="1"/>
      <c r="P176" s="9">
        <f>SUM((B176:O176))</f>
        <v>571736.25599999982</v>
      </c>
      <c r="Q176" s="5"/>
    </row>
    <row r="177" spans="1:17" hidden="1" x14ac:dyDescent="0.3">
      <c r="A177" s="9" t="s">
        <v>44</v>
      </c>
      <c r="B177" s="9" t="s">
        <v>69</v>
      </c>
      <c r="C177" s="7" t="s">
        <v>69</v>
      </c>
      <c r="D177" s="7">
        <f>((D170*D171)*6384)</f>
        <v>0</v>
      </c>
      <c r="E177" s="7">
        <f>((E170*E171)*6384)</f>
        <v>13406.400000000001</v>
      </c>
      <c r="F177" s="7">
        <v>0</v>
      </c>
      <c r="G177" s="7">
        <v>0</v>
      </c>
      <c r="H177" s="7">
        <v>0</v>
      </c>
      <c r="I177" s="7">
        <f>((I170*I171)*6384)</f>
        <v>0</v>
      </c>
      <c r="J177" s="7">
        <v>0</v>
      </c>
      <c r="K177" s="7">
        <v>0</v>
      </c>
      <c r="L177" s="7">
        <v>0</v>
      </c>
      <c r="M177" s="9" t="s">
        <v>69</v>
      </c>
      <c r="N177" s="9" t="s">
        <v>69</v>
      </c>
      <c r="O177" s="7"/>
      <c r="P177" s="9">
        <f>SUM((B177:O177))</f>
        <v>13406.400000000001</v>
      </c>
      <c r="Q177" s="5"/>
    </row>
    <row r="178" spans="1:17" hidden="1" x14ac:dyDescent="0.3">
      <c r="A178" s="9" t="s">
        <v>93</v>
      </c>
      <c r="B178" s="9" t="s">
        <v>69</v>
      </c>
      <c r="C178" s="27" t="s">
        <v>69</v>
      </c>
      <c r="D178" s="10">
        <f>D170*(26-26)*359</f>
        <v>0</v>
      </c>
      <c r="E178" s="10">
        <f>E170*(26-26)*359</f>
        <v>0</v>
      </c>
      <c r="F178" s="27">
        <v>0</v>
      </c>
      <c r="G178" s="27">
        <v>0</v>
      </c>
      <c r="H178" s="27">
        <v>0</v>
      </c>
      <c r="I178" s="10">
        <f>I170*(26-26)*359</f>
        <v>0</v>
      </c>
      <c r="J178" s="27">
        <v>0</v>
      </c>
      <c r="K178" s="27">
        <v>0</v>
      </c>
      <c r="L178" s="27">
        <v>0</v>
      </c>
      <c r="M178" s="9" t="s">
        <v>69</v>
      </c>
      <c r="N178" s="9" t="s">
        <v>69</v>
      </c>
      <c r="O178" s="27"/>
      <c r="P178" s="9">
        <f>SUM((B178:O178))</f>
        <v>0</v>
      </c>
      <c r="Q178" s="5"/>
    </row>
    <row r="179" spans="1:17" hidden="1" x14ac:dyDescent="0.3">
      <c r="A179" s="9" t="s">
        <v>94</v>
      </c>
      <c r="B179" s="9" t="s">
        <v>69</v>
      </c>
      <c r="C179" s="7" t="s">
        <v>69</v>
      </c>
      <c r="D179" s="7">
        <f>(D176+D177+D178)</f>
        <v>0</v>
      </c>
      <c r="E179" s="7">
        <f>(E176+E177+E178)</f>
        <v>585142.65599999984</v>
      </c>
      <c r="F179" s="7">
        <v>0</v>
      </c>
      <c r="G179" s="7">
        <v>0</v>
      </c>
      <c r="H179" s="7">
        <v>0</v>
      </c>
      <c r="I179" s="7">
        <f>(I176+I177+I178)</f>
        <v>0</v>
      </c>
      <c r="J179" s="7">
        <v>0</v>
      </c>
      <c r="K179" s="7">
        <v>0</v>
      </c>
      <c r="L179" s="7">
        <v>0</v>
      </c>
      <c r="M179" s="9" t="s">
        <v>69</v>
      </c>
      <c r="N179" s="9" t="s">
        <v>69</v>
      </c>
      <c r="O179" s="7"/>
      <c r="P179" s="9">
        <f>SUM((B179:O179))</f>
        <v>585142.65599999984</v>
      </c>
      <c r="Q179" s="5"/>
    </row>
    <row r="180" spans="1:17" hidden="1" x14ac:dyDescent="0.3">
      <c r="A180" s="9" t="s">
        <v>95</v>
      </c>
      <c r="B180" s="9">
        <v>0</v>
      </c>
      <c r="C180" s="14" t="e">
        <v>#DIV/0!</v>
      </c>
      <c r="D180" s="9" t="e">
        <f>(D179/D174)*100</f>
        <v>#DIV/0!</v>
      </c>
      <c r="E180" s="9">
        <f>(E179/E174)*100</f>
        <v>661.02875734297322</v>
      </c>
      <c r="F180" s="14">
        <v>0</v>
      </c>
      <c r="G180" s="14">
        <v>0</v>
      </c>
      <c r="H180" s="14">
        <v>0</v>
      </c>
      <c r="I180" s="9">
        <v>0</v>
      </c>
      <c r="J180" s="14">
        <v>0</v>
      </c>
      <c r="K180" s="14">
        <v>0</v>
      </c>
      <c r="L180" s="14">
        <v>0</v>
      </c>
      <c r="M180" s="9">
        <v>0</v>
      </c>
      <c r="N180" s="9">
        <v>0</v>
      </c>
      <c r="O180" s="14"/>
      <c r="P180" s="9" t="e">
        <f>SUM((B180:O180))</f>
        <v>#DIV/0!</v>
      </c>
      <c r="Q180" s="5"/>
    </row>
    <row r="181" spans="1:17" hidden="1" x14ac:dyDescent="0.3">
      <c r="A181" s="11" t="s">
        <v>47</v>
      </c>
      <c r="B181" s="9">
        <v>0</v>
      </c>
      <c r="C181" s="21" t="e">
        <v>#DIV/0!</v>
      </c>
      <c r="D181" s="21" t="e">
        <f>+D180*0.01</f>
        <v>#DIV/0!</v>
      </c>
      <c r="E181" s="21">
        <f>+E180*0.01</f>
        <v>6.6102875734297326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9">
        <v>0</v>
      </c>
      <c r="N181" s="9">
        <v>0</v>
      </c>
      <c r="O181" s="21"/>
      <c r="P181" s="9"/>
      <c r="Q181" s="5"/>
    </row>
    <row r="182" spans="1:17" hidden="1" x14ac:dyDescent="0.3">
      <c r="C182" s="14"/>
      <c r="F182" s="14"/>
      <c r="G182" s="14"/>
      <c r="H182" s="14"/>
      <c r="J182" s="14"/>
      <c r="K182" s="14"/>
      <c r="L182" s="14"/>
      <c r="O182" s="14"/>
      <c r="P182" s="9"/>
      <c r="Q182" s="5"/>
    </row>
    <row r="183" spans="1:17" hidden="1" x14ac:dyDescent="0.3">
      <c r="A183" s="9" t="s">
        <v>12</v>
      </c>
      <c r="B183" s="9">
        <v>0</v>
      </c>
      <c r="C183" s="14">
        <v>0</v>
      </c>
      <c r="D183" s="9">
        <f>(D172*D173*52)</f>
        <v>0</v>
      </c>
      <c r="E183" s="9">
        <f>(E172*E173*52)</f>
        <v>47486.399999999994</v>
      </c>
      <c r="F183" s="14">
        <v>0</v>
      </c>
      <c r="G183" s="14">
        <v>0</v>
      </c>
      <c r="H183" s="14">
        <v>0</v>
      </c>
      <c r="I183" s="9">
        <f>(I172*I173*52)</f>
        <v>0</v>
      </c>
      <c r="J183" s="14">
        <v>0</v>
      </c>
      <c r="K183" s="14">
        <v>0</v>
      </c>
      <c r="L183" s="14">
        <v>0</v>
      </c>
      <c r="M183" s="9">
        <v>0</v>
      </c>
      <c r="N183" s="9">
        <v>0</v>
      </c>
      <c r="O183" s="14"/>
      <c r="P183" s="9">
        <f>SUM((B183:O183))</f>
        <v>47486.399999999994</v>
      </c>
      <c r="Q183" s="5"/>
    </row>
    <row r="184" spans="1:17" hidden="1" x14ac:dyDescent="0.3">
      <c r="A184" s="9" t="s">
        <v>13</v>
      </c>
      <c r="B184" s="9">
        <v>-21500</v>
      </c>
      <c r="C184" s="14">
        <v>-21500</v>
      </c>
      <c r="D184" s="9">
        <f>(D172*D173*52)-21500</f>
        <v>-21500</v>
      </c>
      <c r="E184" s="9">
        <f>(E172*E173*52)-21500</f>
        <v>25986.399999999994</v>
      </c>
      <c r="F184" s="14">
        <v>-21500</v>
      </c>
      <c r="G184" s="14">
        <v>-21500</v>
      </c>
      <c r="H184" s="14">
        <v>-21500</v>
      </c>
      <c r="I184" s="9">
        <f>(I172*I173*52)-21500</f>
        <v>-21500</v>
      </c>
      <c r="J184" s="14">
        <v>-21500</v>
      </c>
      <c r="K184" s="14">
        <v>-21500</v>
      </c>
      <c r="L184" s="14">
        <v>-21500</v>
      </c>
      <c r="M184" s="9">
        <v>-21500</v>
      </c>
      <c r="N184" s="9">
        <v>-21500</v>
      </c>
      <c r="O184" s="14"/>
      <c r="P184" s="9">
        <f>SUM((B184:O184))</f>
        <v>-232013.6</v>
      </c>
      <c r="Q184" s="5"/>
    </row>
    <row r="185" spans="1:17" hidden="1" x14ac:dyDescent="0.3">
      <c r="C185" s="14"/>
      <c r="F185" s="14"/>
      <c r="G185" s="14"/>
      <c r="H185" s="14"/>
      <c r="J185" s="14"/>
      <c r="K185" s="14"/>
      <c r="L185" s="14"/>
      <c r="O185" s="14"/>
      <c r="P185" s="9"/>
      <c r="Q185" s="5"/>
    </row>
    <row r="186" spans="1:17" hidden="1" x14ac:dyDescent="0.3">
      <c r="A186" s="11" t="s">
        <v>97</v>
      </c>
      <c r="B186" s="9" t="s">
        <v>84</v>
      </c>
      <c r="C186" s="14" t="s">
        <v>84</v>
      </c>
      <c r="D186" s="9" t="s">
        <v>84</v>
      </c>
      <c r="E186" s="9" t="s">
        <v>84</v>
      </c>
      <c r="F186" s="14" t="s">
        <v>84</v>
      </c>
      <c r="G186" s="14" t="s">
        <v>84</v>
      </c>
      <c r="H186" s="14" t="s">
        <v>84</v>
      </c>
      <c r="I186" s="9" t="s">
        <v>84</v>
      </c>
      <c r="J186" s="14" t="s">
        <v>84</v>
      </c>
      <c r="K186" s="14" t="s">
        <v>84</v>
      </c>
      <c r="L186" s="14" t="s">
        <v>84</v>
      </c>
      <c r="M186" s="9" t="s">
        <v>84</v>
      </c>
      <c r="N186" s="9" t="s">
        <v>84</v>
      </c>
      <c r="O186" s="14"/>
      <c r="P186" s="9"/>
      <c r="Q186" s="5"/>
    </row>
    <row r="187" spans="1:17" hidden="1" x14ac:dyDescent="0.3">
      <c r="A187" s="9" t="s">
        <v>85</v>
      </c>
      <c r="C187" s="15"/>
      <c r="D187" s="3"/>
      <c r="E187" s="3">
        <v>159</v>
      </c>
      <c r="F187" s="15"/>
      <c r="G187" s="15"/>
      <c r="H187" s="15"/>
      <c r="I187" s="3"/>
      <c r="J187" s="15"/>
      <c r="K187" s="15"/>
      <c r="L187" s="15"/>
      <c r="O187" s="15"/>
      <c r="P187" s="9">
        <f>SUM((B187:O187))</f>
        <v>159</v>
      </c>
      <c r="Q187" s="5"/>
    </row>
    <row r="188" spans="1:17" hidden="1" x14ac:dyDescent="0.3">
      <c r="A188" s="9" t="s">
        <v>86</v>
      </c>
      <c r="C188" s="15"/>
      <c r="D188" s="3"/>
      <c r="E188" s="3">
        <v>62</v>
      </c>
      <c r="F188" s="15"/>
      <c r="G188" s="15"/>
      <c r="H188" s="15"/>
      <c r="I188" s="3"/>
      <c r="J188" s="15"/>
      <c r="K188" s="15"/>
      <c r="L188" s="15"/>
      <c r="O188" s="15"/>
      <c r="P188" s="9">
        <f>SUM((B188:O188))</f>
        <v>62</v>
      </c>
      <c r="Q188" s="5"/>
    </row>
    <row r="189" spans="1:17" hidden="1" x14ac:dyDescent="0.3">
      <c r="A189" s="9" t="s">
        <v>87</v>
      </c>
      <c r="C189" s="15"/>
      <c r="D189" s="3"/>
      <c r="E189" s="3">
        <v>3</v>
      </c>
      <c r="F189" s="15"/>
      <c r="G189" s="15"/>
      <c r="H189" s="15"/>
      <c r="I189" s="3"/>
      <c r="J189" s="15"/>
      <c r="K189" s="15"/>
      <c r="L189" s="15"/>
      <c r="O189" s="15"/>
      <c r="P189" s="9">
        <f>SUM((B189:O189))</f>
        <v>3</v>
      </c>
      <c r="Q189" s="5"/>
    </row>
    <row r="190" spans="1:17" hidden="1" x14ac:dyDescent="0.3">
      <c r="A190" s="9" t="s">
        <v>88</v>
      </c>
      <c r="B190" s="24">
        <v>0</v>
      </c>
      <c r="C190" s="25">
        <v>0</v>
      </c>
      <c r="D190" s="26">
        <v>0</v>
      </c>
      <c r="E190" s="26">
        <v>0</v>
      </c>
      <c r="F190" s="25">
        <v>0</v>
      </c>
      <c r="G190" s="25">
        <v>0</v>
      </c>
      <c r="H190" s="25">
        <v>0</v>
      </c>
      <c r="I190" s="26">
        <v>0</v>
      </c>
      <c r="J190" s="25">
        <v>0</v>
      </c>
      <c r="K190" s="25">
        <v>0</v>
      </c>
      <c r="L190" s="25">
        <v>0</v>
      </c>
      <c r="M190" s="24">
        <v>0</v>
      </c>
      <c r="N190" s="24">
        <v>0</v>
      </c>
      <c r="O190" s="25"/>
      <c r="P190" s="9">
        <f>SUM((B190:O190))</f>
        <v>0</v>
      </c>
      <c r="Q190" s="5"/>
    </row>
    <row r="191" spans="1:17" hidden="1" x14ac:dyDescent="0.3">
      <c r="A191" s="9" t="s">
        <v>89</v>
      </c>
      <c r="C191" s="15"/>
      <c r="D191" s="3"/>
      <c r="E191" s="3">
        <v>33.43</v>
      </c>
      <c r="F191" s="15"/>
      <c r="G191" s="15"/>
      <c r="H191" s="15"/>
      <c r="I191" s="3"/>
      <c r="J191" s="15"/>
      <c r="K191" s="15"/>
      <c r="L191" s="15"/>
      <c r="O191" s="15"/>
      <c r="P191" s="9">
        <f>SUM((B191:O191))</f>
        <v>33.43</v>
      </c>
      <c r="Q191" s="5"/>
    </row>
    <row r="192" spans="1:17" hidden="1" x14ac:dyDescent="0.3">
      <c r="A192" s="9" t="s">
        <v>90</v>
      </c>
      <c r="C192" s="4"/>
      <c r="D192" s="4"/>
      <c r="E192" s="4">
        <v>40</v>
      </c>
      <c r="F192" s="4"/>
      <c r="G192" s="4"/>
      <c r="H192" s="4"/>
      <c r="I192" s="4"/>
      <c r="J192" s="4"/>
      <c r="K192" s="4"/>
      <c r="L192" s="4"/>
      <c r="O192" s="4"/>
      <c r="P192" s="9">
        <f>SUM((B192:O192))</f>
        <v>40</v>
      </c>
      <c r="Q192" s="5"/>
    </row>
    <row r="193" spans="1:17" hidden="1" x14ac:dyDescent="0.3">
      <c r="A193" s="9" t="s">
        <v>91</v>
      </c>
      <c r="C193" s="27"/>
      <c r="D193" s="10"/>
      <c r="E193" s="10">
        <v>380096</v>
      </c>
      <c r="F193" s="27"/>
      <c r="G193" s="27"/>
      <c r="H193" s="27"/>
      <c r="I193" s="10"/>
      <c r="J193" s="27"/>
      <c r="K193" s="27"/>
      <c r="L193" s="27"/>
      <c r="O193" s="27"/>
      <c r="P193" s="9">
        <f>SUM((B193:O193))</f>
        <v>380096</v>
      </c>
      <c r="Q193" s="5"/>
    </row>
    <row r="194" spans="1:17" hidden="1" x14ac:dyDescent="0.3">
      <c r="A194" s="9" t="s">
        <v>92</v>
      </c>
      <c r="B194" s="9" t="s">
        <v>69</v>
      </c>
      <c r="C194" s="7" t="s">
        <v>69</v>
      </c>
      <c r="D194" s="7">
        <f>((D191*D192)*52)*D188</f>
        <v>0</v>
      </c>
      <c r="E194" s="7">
        <f>((E191*E192)*52)*E189</f>
        <v>208603.2</v>
      </c>
      <c r="F194" s="7">
        <v>0</v>
      </c>
      <c r="G194" s="7">
        <v>0</v>
      </c>
      <c r="H194" s="7">
        <v>0</v>
      </c>
      <c r="I194" s="7">
        <f>((I191*I192)*52)*I188</f>
        <v>0</v>
      </c>
      <c r="J194" s="7">
        <v>0</v>
      </c>
      <c r="K194" s="7">
        <v>0</v>
      </c>
      <c r="L194" s="7">
        <v>0</v>
      </c>
      <c r="M194" s="9" t="s">
        <v>69</v>
      </c>
      <c r="N194" s="9" t="s">
        <v>69</v>
      </c>
      <c r="O194" s="7"/>
      <c r="P194" s="9">
        <f>SUM((B194:O194))</f>
        <v>208603.2</v>
      </c>
      <c r="Q194" s="5"/>
    </row>
    <row r="195" spans="1:17" hidden="1" x14ac:dyDescent="0.3">
      <c r="A195" s="9" t="s">
        <v>43</v>
      </c>
      <c r="B195" s="9" t="s">
        <v>69</v>
      </c>
      <c r="C195" s="1" t="s">
        <v>69</v>
      </c>
      <c r="D195" s="1">
        <f>(D194)*(0.276)</f>
        <v>0</v>
      </c>
      <c r="E195" s="1">
        <f>(E194)*(0.37)</f>
        <v>77183.184000000008</v>
      </c>
      <c r="F195" s="1">
        <v>0</v>
      </c>
      <c r="G195" s="1">
        <v>0</v>
      </c>
      <c r="H195" s="1">
        <v>0</v>
      </c>
      <c r="I195" s="1">
        <f>(I194)*(0.276)</f>
        <v>0</v>
      </c>
      <c r="J195" s="1">
        <v>0</v>
      </c>
      <c r="K195" s="1">
        <v>0</v>
      </c>
      <c r="L195" s="1">
        <v>0</v>
      </c>
      <c r="M195" s="9" t="s">
        <v>69</v>
      </c>
      <c r="N195" s="9" t="s">
        <v>69</v>
      </c>
      <c r="O195" s="1"/>
      <c r="P195" s="9">
        <f>SUM((B195:O195))</f>
        <v>77183.184000000008</v>
      </c>
      <c r="Q195" s="5"/>
    </row>
    <row r="196" spans="1:17" hidden="1" x14ac:dyDescent="0.3">
      <c r="A196" s="9" t="s">
        <v>44</v>
      </c>
      <c r="B196" s="9" t="s">
        <v>69</v>
      </c>
      <c r="C196" s="7" t="s">
        <v>69</v>
      </c>
      <c r="D196" s="7">
        <f>((D189*D190)*6384)</f>
        <v>0</v>
      </c>
      <c r="E196" s="7">
        <f>((E189*E190)*6384)</f>
        <v>0</v>
      </c>
      <c r="F196" s="7">
        <v>0</v>
      </c>
      <c r="G196" s="7">
        <v>0</v>
      </c>
      <c r="H196" s="7">
        <v>0</v>
      </c>
      <c r="I196" s="7">
        <f>((I189*I190)*6384)</f>
        <v>0</v>
      </c>
      <c r="J196" s="7">
        <v>0</v>
      </c>
      <c r="K196" s="7">
        <v>0</v>
      </c>
      <c r="L196" s="7">
        <v>0</v>
      </c>
      <c r="M196" s="9" t="s">
        <v>69</v>
      </c>
      <c r="N196" s="9" t="s">
        <v>69</v>
      </c>
      <c r="O196" s="7"/>
      <c r="P196" s="9">
        <f>SUM((B196:O196))</f>
        <v>0</v>
      </c>
      <c r="Q196" s="5"/>
    </row>
    <row r="197" spans="1:17" hidden="1" x14ac:dyDescent="0.3">
      <c r="A197" s="9" t="s">
        <v>93</v>
      </c>
      <c r="B197" s="9" t="s">
        <v>69</v>
      </c>
      <c r="C197" s="27" t="s">
        <v>69</v>
      </c>
      <c r="D197" s="10">
        <f>D189*(26-26)*359</f>
        <v>0</v>
      </c>
      <c r="E197" s="10">
        <f>E189*(26-26)*359</f>
        <v>0</v>
      </c>
      <c r="F197" s="27">
        <v>0</v>
      </c>
      <c r="G197" s="27">
        <v>0</v>
      </c>
      <c r="H197" s="27">
        <v>0</v>
      </c>
      <c r="I197" s="10">
        <f>I189*(26-26)*359</f>
        <v>0</v>
      </c>
      <c r="J197" s="27">
        <v>0</v>
      </c>
      <c r="K197" s="27">
        <v>0</v>
      </c>
      <c r="L197" s="27">
        <v>0</v>
      </c>
      <c r="M197" s="9" t="s">
        <v>69</v>
      </c>
      <c r="N197" s="9" t="s">
        <v>69</v>
      </c>
      <c r="O197" s="27"/>
      <c r="P197" s="9">
        <f>SUM((B197:O197))</f>
        <v>0</v>
      </c>
      <c r="Q197" s="5"/>
    </row>
    <row r="198" spans="1:17" hidden="1" x14ac:dyDescent="0.3">
      <c r="A198" s="9" t="s">
        <v>94</v>
      </c>
      <c r="B198" s="9" t="s">
        <v>69</v>
      </c>
      <c r="C198" s="7" t="s">
        <v>69</v>
      </c>
      <c r="D198" s="7">
        <f>(D195+D196+D197)</f>
        <v>0</v>
      </c>
      <c r="E198" s="7">
        <f>(E195+E196+E197)</f>
        <v>77183.184000000008</v>
      </c>
      <c r="F198" s="7">
        <v>0</v>
      </c>
      <c r="G198" s="7">
        <v>0</v>
      </c>
      <c r="H198" s="7">
        <v>0</v>
      </c>
      <c r="I198" s="7">
        <f>(I195+I196+I197)</f>
        <v>0</v>
      </c>
      <c r="J198" s="7">
        <v>0</v>
      </c>
      <c r="K198" s="7">
        <v>0</v>
      </c>
      <c r="L198" s="7">
        <v>0</v>
      </c>
      <c r="M198" s="9" t="s">
        <v>69</v>
      </c>
      <c r="N198" s="9" t="s">
        <v>69</v>
      </c>
      <c r="O198" s="7"/>
      <c r="P198" s="9">
        <f>SUM((B198:O198))</f>
        <v>77183.184000000008</v>
      </c>
      <c r="Q198" s="5"/>
    </row>
    <row r="199" spans="1:17" hidden="1" x14ac:dyDescent="0.3">
      <c r="A199" s="9" t="s">
        <v>95</v>
      </c>
      <c r="B199" s="9">
        <v>0</v>
      </c>
      <c r="C199" s="14" t="e">
        <v>#DIV/0!</v>
      </c>
      <c r="D199" s="9" t="e">
        <f>(D198/D193)*100</f>
        <v>#DIV/0!</v>
      </c>
      <c r="E199" s="9">
        <f>(E198/E193)*100</f>
        <v>20.30623421451423</v>
      </c>
      <c r="F199" s="14">
        <v>0</v>
      </c>
      <c r="G199" s="14">
        <v>0</v>
      </c>
      <c r="H199" s="14">
        <v>0</v>
      </c>
      <c r="I199" s="9">
        <v>0</v>
      </c>
      <c r="J199" s="14">
        <v>0</v>
      </c>
      <c r="K199" s="14">
        <v>0</v>
      </c>
      <c r="L199" s="14">
        <v>0</v>
      </c>
      <c r="M199" s="9">
        <v>0</v>
      </c>
      <c r="N199" s="9">
        <v>0</v>
      </c>
      <c r="O199" s="14"/>
      <c r="P199" s="9" t="e">
        <f>SUM((B199:O199))</f>
        <v>#DIV/0!</v>
      </c>
      <c r="Q199" s="5"/>
    </row>
    <row r="200" spans="1:17" hidden="1" x14ac:dyDescent="0.3">
      <c r="A200" s="11" t="s">
        <v>47</v>
      </c>
      <c r="B200" s="9">
        <v>0</v>
      </c>
      <c r="C200" s="21" t="e">
        <v>#DIV/0!</v>
      </c>
      <c r="D200" s="21" t="e">
        <f>+D199*0.01</f>
        <v>#DIV/0!</v>
      </c>
      <c r="E200" s="21">
        <f>+E199*0.01</f>
        <v>0.20306234214514229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9">
        <v>0</v>
      </c>
      <c r="N200" s="9">
        <v>0</v>
      </c>
      <c r="O200" s="21"/>
      <c r="P200" s="9" t="e">
        <f>SUM((B200:O200))</f>
        <v>#DIV/0!</v>
      </c>
      <c r="Q200" s="5"/>
    </row>
    <row r="201" spans="1:17" hidden="1" x14ac:dyDescent="0.3">
      <c r="C201" s="14"/>
      <c r="F201" s="14"/>
      <c r="G201" s="14"/>
      <c r="H201" s="14"/>
      <c r="J201" s="14"/>
      <c r="K201" s="14"/>
      <c r="L201" s="14"/>
      <c r="O201" s="14"/>
      <c r="P201" s="9"/>
      <c r="Q201" s="5"/>
    </row>
    <row r="202" spans="1:17" hidden="1" x14ac:dyDescent="0.3">
      <c r="A202" s="9" t="s">
        <v>12</v>
      </c>
      <c r="B202" s="9">
        <v>0</v>
      </c>
      <c r="C202" s="14">
        <v>0</v>
      </c>
      <c r="D202" s="9">
        <f>(D192*D191*52)</f>
        <v>0</v>
      </c>
      <c r="E202" s="9">
        <f>(E192*E191*52)</f>
        <v>69534.400000000009</v>
      </c>
      <c r="F202" s="14">
        <v>0</v>
      </c>
      <c r="G202" s="14">
        <v>0</v>
      </c>
      <c r="H202" s="14">
        <v>0</v>
      </c>
      <c r="I202" s="9">
        <f>(I192*I191*52)</f>
        <v>0</v>
      </c>
      <c r="J202" s="14">
        <v>0</v>
      </c>
      <c r="K202" s="14">
        <v>0</v>
      </c>
      <c r="L202" s="14">
        <v>0</v>
      </c>
      <c r="M202" s="9">
        <v>0</v>
      </c>
      <c r="N202" s="9">
        <v>0</v>
      </c>
      <c r="O202" s="14"/>
      <c r="P202" s="9">
        <f>SUM((B202:O202))</f>
        <v>69534.400000000009</v>
      </c>
      <c r="Q202" s="5"/>
    </row>
    <row r="203" spans="1:17" hidden="1" x14ac:dyDescent="0.3">
      <c r="A203" s="9" t="s">
        <v>13</v>
      </c>
      <c r="B203" s="9">
        <v>-21500</v>
      </c>
      <c r="C203" s="14">
        <v>-21500</v>
      </c>
      <c r="D203" s="9">
        <f>(D192*D191*52)-21500</f>
        <v>-21500</v>
      </c>
      <c r="E203" s="9">
        <f>(E192*E191*52)-21500</f>
        <v>48034.400000000009</v>
      </c>
      <c r="F203" s="14">
        <v>-21500</v>
      </c>
      <c r="G203" s="14">
        <v>-21500</v>
      </c>
      <c r="H203" s="14">
        <v>-21500</v>
      </c>
      <c r="I203" s="9">
        <f>(I192*I191*52)-21500</f>
        <v>-21500</v>
      </c>
      <c r="J203" s="14">
        <v>-21500</v>
      </c>
      <c r="K203" s="14">
        <v>-21500</v>
      </c>
      <c r="L203" s="14">
        <v>-21500</v>
      </c>
      <c r="M203" s="9">
        <v>-21500</v>
      </c>
      <c r="N203" s="9">
        <v>-21500</v>
      </c>
      <c r="O203" s="14"/>
      <c r="P203" s="9">
        <f>SUM((B203:O203))</f>
        <v>-209965.59999999998</v>
      </c>
      <c r="Q203" s="5"/>
    </row>
    <row r="204" spans="1:17" hidden="1" x14ac:dyDescent="0.3">
      <c r="C204" s="14"/>
      <c r="F204" s="14"/>
      <c r="G204" s="14"/>
      <c r="H204" s="14"/>
      <c r="J204" s="14"/>
      <c r="K204" s="14"/>
      <c r="L204" s="14"/>
      <c r="O204" s="14"/>
      <c r="P204" s="9"/>
      <c r="Q204" s="5"/>
    </row>
    <row r="205" spans="1:17" hidden="1" x14ac:dyDescent="0.3">
      <c r="A205" s="11" t="s">
        <v>96</v>
      </c>
      <c r="B205" s="9" t="s">
        <v>84</v>
      </c>
      <c r="C205" s="14" t="s">
        <v>84</v>
      </c>
      <c r="D205" s="9" t="s">
        <v>131</v>
      </c>
      <c r="E205" s="9" t="s">
        <v>84</v>
      </c>
      <c r="F205" s="14" t="s">
        <v>84</v>
      </c>
      <c r="G205" s="14" t="s">
        <v>84</v>
      </c>
      <c r="H205" s="14" t="s">
        <v>84</v>
      </c>
      <c r="I205" s="9" t="s">
        <v>84</v>
      </c>
      <c r="J205" s="14" t="s">
        <v>84</v>
      </c>
      <c r="K205" s="14" t="s">
        <v>84</v>
      </c>
      <c r="L205" s="14" t="s">
        <v>84</v>
      </c>
      <c r="M205" s="9" t="s">
        <v>84</v>
      </c>
      <c r="N205" s="9" t="s">
        <v>84</v>
      </c>
      <c r="O205" s="14"/>
      <c r="P205" s="9"/>
      <c r="Q205" s="5"/>
    </row>
    <row r="206" spans="1:17" hidden="1" x14ac:dyDescent="0.3">
      <c r="A206" s="9" t="s">
        <v>85</v>
      </c>
      <c r="C206" s="15"/>
      <c r="D206" s="3">
        <v>22</v>
      </c>
      <c r="E206" s="3"/>
      <c r="F206" s="15"/>
      <c r="G206" s="15"/>
      <c r="H206" s="15"/>
      <c r="I206" s="3"/>
      <c r="J206" s="15"/>
      <c r="K206" s="15"/>
      <c r="L206" s="15"/>
      <c r="O206" s="15"/>
      <c r="P206" s="9"/>
      <c r="Q206" s="5"/>
    </row>
    <row r="207" spans="1:17" hidden="1" x14ac:dyDescent="0.3">
      <c r="A207" s="9" t="s">
        <v>86</v>
      </c>
      <c r="C207" s="15"/>
      <c r="D207" s="3">
        <v>9</v>
      </c>
      <c r="E207" s="3"/>
      <c r="F207" s="15"/>
      <c r="G207" s="15"/>
      <c r="H207" s="15"/>
      <c r="I207" s="3"/>
      <c r="J207" s="15"/>
      <c r="K207" s="15"/>
      <c r="L207" s="15"/>
      <c r="O207" s="15"/>
      <c r="P207" s="9"/>
      <c r="Q207" s="5"/>
    </row>
    <row r="208" spans="1:17" hidden="1" x14ac:dyDescent="0.3">
      <c r="A208" s="9" t="s">
        <v>87</v>
      </c>
      <c r="C208" s="15"/>
      <c r="D208" s="3">
        <v>9</v>
      </c>
      <c r="E208" s="3"/>
      <c r="F208" s="15"/>
      <c r="G208" s="15"/>
      <c r="H208" s="15"/>
      <c r="I208" s="3"/>
      <c r="J208" s="15"/>
      <c r="K208" s="15"/>
      <c r="L208" s="15"/>
      <c r="O208" s="15"/>
      <c r="P208" s="9"/>
      <c r="Q208" s="5"/>
    </row>
    <row r="209" spans="1:17" hidden="1" x14ac:dyDescent="0.3">
      <c r="A209" s="9" t="s">
        <v>88</v>
      </c>
      <c r="B209" s="24">
        <v>0</v>
      </c>
      <c r="C209" s="25">
        <v>0</v>
      </c>
      <c r="D209" s="26">
        <f>1/9</f>
        <v>0.1111111111111111</v>
      </c>
      <c r="E209" s="26">
        <v>0</v>
      </c>
      <c r="F209" s="25">
        <v>0</v>
      </c>
      <c r="G209" s="25">
        <v>0</v>
      </c>
      <c r="H209" s="25">
        <v>0</v>
      </c>
      <c r="I209" s="26">
        <v>0</v>
      </c>
      <c r="J209" s="25">
        <v>0</v>
      </c>
      <c r="K209" s="25">
        <v>0</v>
      </c>
      <c r="L209" s="25">
        <v>0</v>
      </c>
      <c r="M209" s="24">
        <v>0</v>
      </c>
      <c r="N209" s="24">
        <v>0</v>
      </c>
      <c r="O209" s="25"/>
      <c r="P209" s="9"/>
      <c r="Q209" s="5"/>
    </row>
    <row r="210" spans="1:17" hidden="1" x14ac:dyDescent="0.3">
      <c r="A210" s="9" t="s">
        <v>89</v>
      </c>
      <c r="C210" s="2"/>
      <c r="D210" s="3">
        <v>9.7799999999999994</v>
      </c>
      <c r="E210" s="2"/>
      <c r="F210" s="2"/>
      <c r="G210" s="2"/>
      <c r="H210" s="2"/>
      <c r="I210" s="2"/>
      <c r="J210" s="2"/>
      <c r="K210" s="2"/>
      <c r="L210" s="2"/>
      <c r="O210" s="2"/>
      <c r="P210" s="9"/>
      <c r="Q210" s="5"/>
    </row>
    <row r="211" spans="1:17" hidden="1" x14ac:dyDescent="0.3">
      <c r="A211" s="9" t="s">
        <v>90</v>
      </c>
      <c r="C211" s="15"/>
      <c r="D211" s="3">
        <v>26</v>
      </c>
      <c r="E211" s="3"/>
      <c r="F211" s="15"/>
      <c r="G211" s="15"/>
      <c r="H211" s="15"/>
      <c r="I211" s="3"/>
      <c r="J211" s="15"/>
      <c r="K211" s="15"/>
      <c r="L211" s="15"/>
      <c r="O211" s="15"/>
      <c r="P211" s="9"/>
      <c r="Q211" s="5"/>
    </row>
    <row r="212" spans="1:17" hidden="1" x14ac:dyDescent="0.3">
      <c r="A212" s="9" t="s">
        <v>91</v>
      </c>
      <c r="C212" s="27"/>
      <c r="D212" s="1">
        <v>33612.75</v>
      </c>
      <c r="E212" s="10"/>
      <c r="F212" s="27"/>
      <c r="G212" s="27"/>
      <c r="H212" s="27"/>
      <c r="I212" s="10"/>
      <c r="J212" s="27"/>
      <c r="K212" s="27"/>
      <c r="L212" s="27"/>
      <c r="O212" s="27"/>
      <c r="P212" s="9"/>
      <c r="Q212" s="5"/>
    </row>
    <row r="213" spans="1:17" hidden="1" x14ac:dyDescent="0.3">
      <c r="A213" s="9" t="s">
        <v>92</v>
      </c>
      <c r="B213" s="9" t="s">
        <v>69</v>
      </c>
      <c r="C213" s="7" t="s">
        <v>69</v>
      </c>
      <c r="D213" s="7">
        <f>((D210*D211)*52)*D208</f>
        <v>119003.03999999998</v>
      </c>
      <c r="E213" s="7">
        <f>((E210*E211)*52)*E208</f>
        <v>0</v>
      </c>
      <c r="F213" s="7">
        <v>0</v>
      </c>
      <c r="G213" s="7">
        <v>0</v>
      </c>
      <c r="H213" s="7">
        <v>0</v>
      </c>
      <c r="I213" s="7">
        <f>((I210*I211)*52)*I207</f>
        <v>0</v>
      </c>
      <c r="J213" s="7">
        <v>0</v>
      </c>
      <c r="K213" s="7">
        <v>0</v>
      </c>
      <c r="L213" s="7">
        <v>0</v>
      </c>
      <c r="M213" s="9" t="s">
        <v>69</v>
      </c>
      <c r="N213" s="9" t="s">
        <v>69</v>
      </c>
      <c r="O213" s="7"/>
      <c r="P213" s="9"/>
      <c r="Q213" s="5"/>
    </row>
    <row r="214" spans="1:17" hidden="1" x14ac:dyDescent="0.3">
      <c r="A214" s="9" t="s">
        <v>43</v>
      </c>
      <c r="B214" s="9" t="s">
        <v>69</v>
      </c>
      <c r="C214" s="1" t="s">
        <v>69</v>
      </c>
      <c r="D214" s="1">
        <f>(D213)*0.276</f>
        <v>32844.839039999999</v>
      </c>
      <c r="E214" s="1">
        <f>(E213)*(0.276)</f>
        <v>0</v>
      </c>
      <c r="F214" s="1">
        <v>0</v>
      </c>
      <c r="G214" s="1">
        <v>0</v>
      </c>
      <c r="H214" s="1">
        <v>0</v>
      </c>
      <c r="I214" s="1">
        <f>(I213)*(0.276)</f>
        <v>0</v>
      </c>
      <c r="J214" s="1">
        <v>0</v>
      </c>
      <c r="K214" s="1">
        <v>0</v>
      </c>
      <c r="L214" s="1">
        <v>0</v>
      </c>
      <c r="M214" s="9" t="s">
        <v>69</v>
      </c>
      <c r="N214" s="9" t="s">
        <v>69</v>
      </c>
      <c r="O214" s="1"/>
      <c r="P214" s="9"/>
      <c r="Q214" s="5"/>
    </row>
    <row r="215" spans="1:17" hidden="1" x14ac:dyDescent="0.3">
      <c r="A215" s="9" t="s">
        <v>44</v>
      </c>
      <c r="B215" s="9" t="s">
        <v>69</v>
      </c>
      <c r="C215" s="7" t="s">
        <v>69</v>
      </c>
      <c r="D215" s="7">
        <f>((D208*D209)*6384)</f>
        <v>6384</v>
      </c>
      <c r="E215" s="7">
        <f>((E208*E209)*6384)</f>
        <v>0</v>
      </c>
      <c r="F215" s="7">
        <v>0</v>
      </c>
      <c r="G215" s="7">
        <v>0</v>
      </c>
      <c r="H215" s="7">
        <v>0</v>
      </c>
      <c r="I215" s="7">
        <f>((I208*I209)*6384)</f>
        <v>0</v>
      </c>
      <c r="J215" s="7">
        <v>0</v>
      </c>
      <c r="K215" s="7">
        <v>0</v>
      </c>
      <c r="L215" s="7">
        <v>0</v>
      </c>
      <c r="M215" s="9" t="s">
        <v>69</v>
      </c>
      <c r="N215" s="9" t="s">
        <v>69</v>
      </c>
      <c r="O215" s="7"/>
      <c r="P215" s="9"/>
      <c r="Q215" s="5"/>
    </row>
    <row r="216" spans="1:17" hidden="1" x14ac:dyDescent="0.3">
      <c r="A216" s="9" t="s">
        <v>93</v>
      </c>
      <c r="B216" s="9" t="s">
        <v>69</v>
      </c>
      <c r="C216" s="27" t="s">
        <v>69</v>
      </c>
      <c r="D216" s="7">
        <f>(D214+D215)</f>
        <v>39228.839039999999</v>
      </c>
      <c r="E216" s="10">
        <f>E208*(26-26)*359</f>
        <v>0</v>
      </c>
      <c r="F216" s="27">
        <v>0</v>
      </c>
      <c r="G216" s="27">
        <v>0</v>
      </c>
      <c r="H216" s="27">
        <v>0</v>
      </c>
      <c r="I216" s="10">
        <f>I208*(26-26)*359</f>
        <v>0</v>
      </c>
      <c r="J216" s="27">
        <v>0</v>
      </c>
      <c r="K216" s="27">
        <v>0</v>
      </c>
      <c r="L216" s="27">
        <v>0</v>
      </c>
      <c r="M216" s="9" t="s">
        <v>69</v>
      </c>
      <c r="N216" s="9" t="s">
        <v>69</v>
      </c>
      <c r="O216" s="27"/>
      <c r="P216" s="9"/>
      <c r="Q216" s="5"/>
    </row>
    <row r="217" spans="1:17" hidden="1" x14ac:dyDescent="0.3">
      <c r="A217" s="9" t="s">
        <v>94</v>
      </c>
      <c r="B217" s="9" t="s">
        <v>69</v>
      </c>
      <c r="C217" s="7" t="s">
        <v>69</v>
      </c>
      <c r="D217" s="9">
        <f>(D216/D212)*100</f>
        <v>116.70821054510566</v>
      </c>
      <c r="E217" s="7">
        <f>(E214+E215+E216)</f>
        <v>0</v>
      </c>
      <c r="F217" s="7">
        <v>0</v>
      </c>
      <c r="G217" s="7">
        <v>0</v>
      </c>
      <c r="H217" s="7">
        <v>0</v>
      </c>
      <c r="I217" s="7">
        <f>(I214+I215+I216)</f>
        <v>0</v>
      </c>
      <c r="J217" s="7">
        <v>0</v>
      </c>
      <c r="K217" s="7">
        <v>0</v>
      </c>
      <c r="L217" s="7">
        <v>0</v>
      </c>
      <c r="M217" s="9" t="s">
        <v>69</v>
      </c>
      <c r="N217" s="9" t="s">
        <v>69</v>
      </c>
      <c r="O217" s="7"/>
      <c r="P217" s="9"/>
      <c r="Q217" s="5"/>
    </row>
    <row r="218" spans="1:17" hidden="1" x14ac:dyDescent="0.3">
      <c r="A218" s="9" t="s">
        <v>95</v>
      </c>
      <c r="B218" s="9">
        <v>0</v>
      </c>
      <c r="C218" s="14" t="e">
        <v>#DIV/0!</v>
      </c>
      <c r="D218" s="21">
        <f>+D217*0.01</f>
        <v>1.1670821054510565</v>
      </c>
      <c r="E218" s="9" t="e">
        <f>(E217/E212)*100</f>
        <v>#DIV/0!</v>
      </c>
      <c r="F218" s="14">
        <v>0</v>
      </c>
      <c r="G218" s="14">
        <v>0</v>
      </c>
      <c r="H218" s="14">
        <v>0</v>
      </c>
      <c r="I218" s="9">
        <v>0</v>
      </c>
      <c r="J218" s="14">
        <v>0</v>
      </c>
      <c r="K218" s="14">
        <v>0</v>
      </c>
      <c r="L218" s="14">
        <v>0</v>
      </c>
      <c r="M218" s="9">
        <v>0</v>
      </c>
      <c r="N218" s="9">
        <v>0</v>
      </c>
      <c r="O218" s="14"/>
      <c r="P218" s="9"/>
      <c r="Q218" s="5"/>
    </row>
    <row r="219" spans="1:17" hidden="1" x14ac:dyDescent="0.3">
      <c r="A219" s="11" t="s">
        <v>47</v>
      </c>
      <c r="B219" s="9">
        <v>0</v>
      </c>
      <c r="C219" s="21" t="e">
        <v>#DIV/0!</v>
      </c>
      <c r="E219" s="21" t="e">
        <f>+E218*0.01</f>
        <v>#DIV/0!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9">
        <v>0</v>
      </c>
      <c r="N219" s="9">
        <v>0</v>
      </c>
      <c r="O219" s="21"/>
      <c r="P219" s="9"/>
      <c r="Q219" s="5"/>
    </row>
    <row r="220" spans="1:17" hidden="1" x14ac:dyDescent="0.3">
      <c r="C220" s="14"/>
      <c r="D220" s="9">
        <f>(D210*D211*52)</f>
        <v>13222.559999999998</v>
      </c>
      <c r="F220" s="14"/>
      <c r="G220" s="14"/>
      <c r="H220" s="14"/>
      <c r="J220" s="14"/>
      <c r="K220" s="14"/>
      <c r="L220" s="14"/>
      <c r="O220" s="14"/>
      <c r="P220" s="9"/>
      <c r="Q220" s="5"/>
    </row>
    <row r="221" spans="1:17" hidden="1" x14ac:dyDescent="0.3">
      <c r="A221" s="9" t="s">
        <v>12</v>
      </c>
      <c r="B221" s="9">
        <v>0</v>
      </c>
      <c r="C221" s="14">
        <v>0</v>
      </c>
      <c r="D221" s="9">
        <f>(D210*D211*52)-21500</f>
        <v>-8277.4400000000023</v>
      </c>
      <c r="E221" s="9">
        <f>(E210*E211*52)</f>
        <v>0</v>
      </c>
      <c r="F221" s="14">
        <v>0</v>
      </c>
      <c r="G221" s="14">
        <v>0</v>
      </c>
      <c r="H221" s="14">
        <v>0</v>
      </c>
      <c r="I221" s="9">
        <f>(I210*I211*52)</f>
        <v>0</v>
      </c>
      <c r="J221" s="14">
        <v>0</v>
      </c>
      <c r="K221" s="14">
        <v>0</v>
      </c>
      <c r="L221" s="14">
        <v>0</v>
      </c>
      <c r="M221" s="9">
        <v>0</v>
      </c>
      <c r="N221" s="9">
        <v>0</v>
      </c>
      <c r="O221" s="14"/>
      <c r="P221" s="9"/>
      <c r="Q221" s="5"/>
    </row>
    <row r="222" spans="1:17" hidden="1" x14ac:dyDescent="0.3">
      <c r="A222" s="9" t="s">
        <v>13</v>
      </c>
      <c r="B222" s="9">
        <v>-21500</v>
      </c>
      <c r="C222" s="14">
        <v>-21500</v>
      </c>
      <c r="E222" s="9">
        <f>(E210*E211*52)-21500</f>
        <v>-21500</v>
      </c>
      <c r="F222" s="14">
        <v>-21500</v>
      </c>
      <c r="G222" s="14">
        <v>-21500</v>
      </c>
      <c r="H222" s="14">
        <v>-21500</v>
      </c>
      <c r="I222" s="9">
        <f>(I210*I211*52)-21500</f>
        <v>-21500</v>
      </c>
      <c r="J222" s="14">
        <v>-21500</v>
      </c>
      <c r="K222" s="14">
        <v>-21500</v>
      </c>
      <c r="L222" s="14">
        <v>-21500</v>
      </c>
      <c r="M222" s="9">
        <v>-21500</v>
      </c>
      <c r="N222" s="9">
        <v>-21500</v>
      </c>
      <c r="O222" s="14"/>
      <c r="P222" s="9"/>
      <c r="Q222" s="5"/>
    </row>
    <row r="223" spans="1:17" hidden="1" x14ac:dyDescent="0.3">
      <c r="P223" s="9"/>
      <c r="Q223" s="5"/>
    </row>
    <row r="224" spans="1:17" hidden="1" x14ac:dyDescent="0.3">
      <c r="A224" s="9" t="s">
        <v>98</v>
      </c>
      <c r="B224" s="9" t="s">
        <v>84</v>
      </c>
      <c r="C224" s="14" t="s">
        <v>84</v>
      </c>
      <c r="D224" s="9" t="s">
        <v>131</v>
      </c>
      <c r="E224" s="9" t="s">
        <v>84</v>
      </c>
      <c r="F224" s="14" t="s">
        <v>84</v>
      </c>
      <c r="G224" s="14" t="s">
        <v>84</v>
      </c>
      <c r="H224" s="14" t="s">
        <v>84</v>
      </c>
      <c r="I224" s="9" t="s">
        <v>84</v>
      </c>
      <c r="J224" s="14" t="s">
        <v>84</v>
      </c>
      <c r="K224" s="14" t="s">
        <v>84</v>
      </c>
      <c r="L224" s="14" t="s">
        <v>84</v>
      </c>
      <c r="M224" s="9" t="s">
        <v>84</v>
      </c>
      <c r="N224" s="9" t="s">
        <v>84</v>
      </c>
      <c r="O224" s="14"/>
      <c r="P224" s="9"/>
      <c r="Q224" s="5"/>
    </row>
    <row r="225" spans="1:17" hidden="1" x14ac:dyDescent="0.3">
      <c r="A225" s="9" t="s">
        <v>99</v>
      </c>
      <c r="C225" s="15"/>
      <c r="D225" s="3">
        <v>84</v>
      </c>
      <c r="E225" s="3"/>
      <c r="F225" s="15">
        <v>168</v>
      </c>
      <c r="G225" s="15"/>
      <c r="H225" s="15"/>
      <c r="I225" s="3"/>
      <c r="J225" s="15"/>
      <c r="K225" s="15">
        <v>71</v>
      </c>
      <c r="L225" s="15"/>
      <c r="N225" s="9">
        <v>54</v>
      </c>
      <c r="O225" s="15"/>
      <c r="P225" s="9"/>
      <c r="Q225" s="5"/>
    </row>
    <row r="226" spans="1:17" hidden="1" x14ac:dyDescent="0.3">
      <c r="A226" s="9" t="s">
        <v>100</v>
      </c>
      <c r="C226" s="15"/>
      <c r="D226" s="3">
        <v>32</v>
      </c>
      <c r="E226" s="3"/>
      <c r="F226" s="15">
        <v>113</v>
      </c>
      <c r="G226" s="15"/>
      <c r="H226" s="15"/>
      <c r="I226" s="3"/>
      <c r="J226" s="15"/>
      <c r="K226" s="15">
        <v>57</v>
      </c>
      <c r="L226" s="15"/>
      <c r="N226" s="9">
        <v>33</v>
      </c>
      <c r="O226" s="15"/>
      <c r="P226" s="9"/>
      <c r="Q226" s="5"/>
    </row>
    <row r="227" spans="1:17" hidden="1" x14ac:dyDescent="0.3">
      <c r="A227" s="9" t="s">
        <v>101</v>
      </c>
      <c r="C227" s="15"/>
      <c r="D227" s="3">
        <v>17</v>
      </c>
      <c r="E227" s="3"/>
      <c r="F227" s="15">
        <v>75</v>
      </c>
      <c r="G227" s="15"/>
      <c r="H227" s="15"/>
      <c r="I227" s="3"/>
      <c r="J227" s="15"/>
      <c r="K227" s="15">
        <v>33</v>
      </c>
      <c r="L227" s="15"/>
      <c r="N227" s="9">
        <v>11</v>
      </c>
      <c r="O227" s="15"/>
      <c r="P227" s="9"/>
      <c r="Q227" s="5"/>
    </row>
    <row r="228" spans="1:17" hidden="1" x14ac:dyDescent="0.3">
      <c r="A228" s="9" t="s">
        <v>102</v>
      </c>
      <c r="B228" s="24">
        <v>0</v>
      </c>
      <c r="C228" s="25">
        <v>0</v>
      </c>
      <c r="D228" s="26">
        <f>3/17</f>
        <v>0.17647058823529413</v>
      </c>
      <c r="E228" s="26">
        <v>0</v>
      </c>
      <c r="F228" s="25">
        <v>0.08</v>
      </c>
      <c r="G228" s="25">
        <v>0</v>
      </c>
      <c r="H228" s="25">
        <v>0</v>
      </c>
      <c r="I228" s="26">
        <v>0</v>
      </c>
      <c r="J228" s="25">
        <v>0</v>
      </c>
      <c r="K228" s="25">
        <v>0.42420000000000002</v>
      </c>
      <c r="L228" s="25">
        <v>0</v>
      </c>
      <c r="M228" s="24">
        <v>0</v>
      </c>
      <c r="N228" s="24">
        <v>0.09</v>
      </c>
      <c r="O228" s="25"/>
      <c r="P228" s="9"/>
      <c r="Q228" s="5"/>
    </row>
    <row r="229" spans="1:17" hidden="1" x14ac:dyDescent="0.3">
      <c r="A229" s="9" t="s">
        <v>103</v>
      </c>
      <c r="C229" s="15"/>
      <c r="D229" s="3">
        <v>10.199999999999999</v>
      </c>
      <c r="E229" s="3"/>
      <c r="F229" s="15">
        <v>12.97</v>
      </c>
      <c r="G229" s="15"/>
      <c r="H229" s="15"/>
      <c r="I229" s="3"/>
      <c r="J229" s="15"/>
      <c r="K229" s="15">
        <v>13.58</v>
      </c>
      <c r="L229" s="15"/>
      <c r="N229" s="9">
        <v>13.28</v>
      </c>
      <c r="O229" s="15"/>
      <c r="P229" s="9"/>
      <c r="Q229" s="5"/>
    </row>
    <row r="230" spans="1:17" hidden="1" x14ac:dyDescent="0.3">
      <c r="A230" s="9" t="s">
        <v>104</v>
      </c>
      <c r="C230" s="15"/>
      <c r="D230" s="3">
        <v>20</v>
      </c>
      <c r="E230" s="3"/>
      <c r="F230" s="15">
        <v>34</v>
      </c>
      <c r="G230" s="15"/>
      <c r="H230" s="15"/>
      <c r="I230" s="3"/>
      <c r="J230" s="15"/>
      <c r="K230" s="15">
        <v>33.119999999999997</v>
      </c>
      <c r="L230" s="15"/>
      <c r="N230" s="9">
        <v>34.270000000000003</v>
      </c>
      <c r="O230" s="15"/>
      <c r="P230" s="9"/>
      <c r="Q230" s="5"/>
    </row>
    <row r="231" spans="1:17" hidden="1" x14ac:dyDescent="0.3">
      <c r="A231" s="9" t="s">
        <v>105</v>
      </c>
      <c r="C231" s="1"/>
      <c r="D231" s="1">
        <v>51516.06</v>
      </c>
      <c r="E231" s="1"/>
      <c r="F231" s="1">
        <v>137458</v>
      </c>
      <c r="G231" s="1"/>
      <c r="H231" s="1"/>
      <c r="I231" s="1"/>
      <c r="J231" s="1"/>
      <c r="K231" s="1">
        <v>117086.95999999999</v>
      </c>
      <c r="L231" s="1"/>
      <c r="N231" s="20">
        <v>74686</v>
      </c>
      <c r="O231" s="1"/>
      <c r="P231" s="9"/>
      <c r="Q231" s="5"/>
    </row>
    <row r="232" spans="1:17" hidden="1" x14ac:dyDescent="0.3">
      <c r="A232" s="9" t="s">
        <v>106</v>
      </c>
      <c r="B232" s="9" t="s">
        <v>69</v>
      </c>
      <c r="C232" s="7" t="s">
        <v>69</v>
      </c>
      <c r="D232" s="7">
        <f>((D229*D230)*52)*D227</f>
        <v>180336</v>
      </c>
      <c r="E232" s="7">
        <f>((E229*E230)*52)*E227</f>
        <v>0</v>
      </c>
      <c r="F232" s="7">
        <v>1719822</v>
      </c>
      <c r="G232" s="7">
        <v>0</v>
      </c>
      <c r="H232" s="7">
        <v>0</v>
      </c>
      <c r="I232" s="7">
        <f>((I229*I230)*52)*I227</f>
        <v>0</v>
      </c>
      <c r="J232" s="7">
        <v>0</v>
      </c>
      <c r="K232" s="7">
        <v>771804.63359999994</v>
      </c>
      <c r="L232" s="7">
        <v>0</v>
      </c>
      <c r="M232" s="9" t="s">
        <v>69</v>
      </c>
      <c r="N232" s="20">
        <v>260320</v>
      </c>
      <c r="O232" s="7"/>
      <c r="P232" s="9"/>
      <c r="Q232" s="5"/>
    </row>
    <row r="233" spans="1:17" hidden="1" x14ac:dyDescent="0.3">
      <c r="A233" s="9" t="s">
        <v>43</v>
      </c>
      <c r="B233" s="9" t="s">
        <v>69</v>
      </c>
      <c r="C233" s="1" t="s">
        <v>69</v>
      </c>
      <c r="D233" s="1">
        <f>(D232)*0.276</f>
        <v>49772.736000000004</v>
      </c>
      <c r="E233" s="1">
        <f>(E232)*0.276</f>
        <v>0</v>
      </c>
      <c r="F233" s="1">
        <v>484989.80399999995</v>
      </c>
      <c r="G233" s="1">
        <v>0</v>
      </c>
      <c r="H233" s="1">
        <v>0</v>
      </c>
      <c r="I233" s="1">
        <f>(I232)*0.276</f>
        <v>0</v>
      </c>
      <c r="J233" s="1">
        <v>0</v>
      </c>
      <c r="K233" s="1">
        <v>219192.51594239997</v>
      </c>
      <c r="L233" s="1">
        <v>0</v>
      </c>
      <c r="M233" s="9" t="s">
        <v>69</v>
      </c>
      <c r="N233" s="20">
        <v>74191</v>
      </c>
      <c r="O233" s="1"/>
      <c r="P233" s="9"/>
      <c r="Q233" s="5"/>
    </row>
    <row r="234" spans="1:17" hidden="1" x14ac:dyDescent="0.3">
      <c r="A234" s="9" t="s">
        <v>44</v>
      </c>
      <c r="B234" s="9" t="s">
        <v>69</v>
      </c>
      <c r="C234" s="7" t="s">
        <v>69</v>
      </c>
      <c r="D234" s="7">
        <f>((D227*D228)*6384)</f>
        <v>19152</v>
      </c>
      <c r="E234" s="7">
        <f>((E227*E228)*6384)</f>
        <v>0</v>
      </c>
      <c r="F234" s="7">
        <v>38304</v>
      </c>
      <c r="G234" s="7">
        <v>0</v>
      </c>
      <c r="H234" s="7">
        <v>0</v>
      </c>
      <c r="I234" s="7">
        <f>((I227*I228)*6384)</f>
        <v>0</v>
      </c>
      <c r="J234" s="7">
        <v>0</v>
      </c>
      <c r="K234" s="7">
        <v>89367.06240000001</v>
      </c>
      <c r="L234" s="7">
        <v>0</v>
      </c>
      <c r="M234" s="9" t="s">
        <v>69</v>
      </c>
      <c r="N234" s="20">
        <v>6320</v>
      </c>
      <c r="O234" s="7"/>
      <c r="P234" s="9"/>
      <c r="Q234" s="5"/>
    </row>
    <row r="235" spans="1:17" hidden="1" x14ac:dyDescent="0.3">
      <c r="A235" s="9" t="s">
        <v>107</v>
      </c>
      <c r="B235" s="9" t="s">
        <v>69</v>
      </c>
      <c r="C235" s="7" t="s">
        <v>69</v>
      </c>
      <c r="D235" s="7">
        <f>(D233+D234)</f>
        <v>68924.736000000004</v>
      </c>
      <c r="E235" s="7">
        <f>(E233+E234)</f>
        <v>0</v>
      </c>
      <c r="F235" s="7">
        <v>523293.80399999995</v>
      </c>
      <c r="G235" s="7">
        <v>0</v>
      </c>
      <c r="H235" s="7">
        <v>0</v>
      </c>
      <c r="I235" s="7">
        <f>(I233+I234)</f>
        <v>0</v>
      </c>
      <c r="J235" s="7">
        <v>0</v>
      </c>
      <c r="K235" s="7">
        <v>308559.57834239997</v>
      </c>
      <c r="L235" s="7">
        <v>0</v>
      </c>
      <c r="M235" s="9" t="s">
        <v>69</v>
      </c>
      <c r="N235" s="20">
        <v>80511</v>
      </c>
      <c r="O235" s="7"/>
      <c r="P235" s="9"/>
      <c r="Q235" s="5"/>
    </row>
    <row r="236" spans="1:17" hidden="1" x14ac:dyDescent="0.3">
      <c r="A236" s="9" t="s">
        <v>108</v>
      </c>
      <c r="B236" s="9">
        <v>0</v>
      </c>
      <c r="C236" s="14" t="e">
        <v>#DIV/0!</v>
      </c>
      <c r="D236" s="9">
        <f>(D235/D231)*100</f>
        <v>133.79271629080333</v>
      </c>
      <c r="E236" s="9" t="e">
        <f>(E235/E231)*100</f>
        <v>#DIV/0!</v>
      </c>
      <c r="F236" s="14">
        <v>380.69359658950367</v>
      </c>
      <c r="G236" s="14">
        <v>0</v>
      </c>
      <c r="H236" s="14">
        <v>0</v>
      </c>
      <c r="I236" s="9">
        <v>0</v>
      </c>
      <c r="J236" s="14">
        <v>0</v>
      </c>
      <c r="K236" s="14">
        <v>263.53026702751526</v>
      </c>
      <c r="L236" s="14">
        <v>0</v>
      </c>
      <c r="M236" s="9">
        <v>0</v>
      </c>
      <c r="N236" s="9">
        <v>107.7999557</v>
      </c>
      <c r="O236" s="14"/>
      <c r="P236" s="9"/>
      <c r="Q236" s="5"/>
    </row>
    <row r="237" spans="1:17" hidden="1" x14ac:dyDescent="0.3">
      <c r="A237" s="9" t="s">
        <v>47</v>
      </c>
      <c r="B237" s="9">
        <v>0</v>
      </c>
      <c r="C237" s="21" t="e">
        <v>#DIV/0!</v>
      </c>
      <c r="D237" s="21">
        <f>+D236*0.01</f>
        <v>1.3379271629080334</v>
      </c>
      <c r="E237" s="21" t="e">
        <f>+E236*0.01</f>
        <v>#DIV/0!</v>
      </c>
      <c r="F237" s="21">
        <v>3.8069359658950366</v>
      </c>
      <c r="G237" s="21">
        <v>0</v>
      </c>
      <c r="H237" s="21">
        <v>0</v>
      </c>
      <c r="I237" s="21">
        <v>0</v>
      </c>
      <c r="J237" s="21">
        <v>0</v>
      </c>
      <c r="K237" s="21">
        <v>2.6353026702751525</v>
      </c>
      <c r="L237" s="21">
        <v>0</v>
      </c>
      <c r="M237" s="9">
        <v>0</v>
      </c>
      <c r="N237" s="16">
        <v>1.08</v>
      </c>
      <c r="O237" s="21"/>
      <c r="P237" s="9"/>
      <c r="Q237" s="5"/>
    </row>
    <row r="238" spans="1:17" hidden="1" x14ac:dyDescent="0.3">
      <c r="C238" s="14"/>
      <c r="F238" s="14"/>
      <c r="G238" s="14"/>
      <c r="H238" s="14"/>
      <c r="J238" s="14"/>
      <c r="K238" s="14"/>
      <c r="L238" s="14"/>
      <c r="O238" s="14"/>
      <c r="P238" s="9"/>
      <c r="Q238" s="5"/>
    </row>
    <row r="239" spans="1:17" hidden="1" x14ac:dyDescent="0.3">
      <c r="C239" s="14"/>
      <c r="D239" s="9">
        <f>(D229*D230*52)</f>
        <v>10608</v>
      </c>
      <c r="F239" s="14"/>
      <c r="G239" s="14"/>
      <c r="H239" s="14"/>
      <c r="J239" s="14"/>
      <c r="K239" s="14"/>
      <c r="L239" s="14"/>
      <c r="O239" s="14"/>
      <c r="P239" s="9"/>
      <c r="Q239" s="5"/>
    </row>
    <row r="240" spans="1:17" hidden="1" x14ac:dyDescent="0.3">
      <c r="A240" s="9" t="s">
        <v>12</v>
      </c>
      <c r="B240" s="9">
        <v>0</v>
      </c>
      <c r="C240" s="14">
        <v>0</v>
      </c>
      <c r="D240" s="9">
        <f>(D229*D230*52)-21500</f>
        <v>-10892</v>
      </c>
      <c r="E240" s="9">
        <f>(E229*E230*52)</f>
        <v>0</v>
      </c>
      <c r="F240" s="14">
        <v>22930.959999999999</v>
      </c>
      <c r="G240" s="14">
        <v>0</v>
      </c>
      <c r="H240" s="14">
        <v>0</v>
      </c>
      <c r="I240" s="9">
        <f>(I229*I230*52)</f>
        <v>0</v>
      </c>
      <c r="J240" s="14">
        <v>0</v>
      </c>
      <c r="K240" s="14">
        <v>23388.019199999999</v>
      </c>
      <c r="L240" s="14">
        <v>0</v>
      </c>
      <c r="M240" s="9">
        <v>0</v>
      </c>
      <c r="N240" s="9">
        <v>23665.4912</v>
      </c>
      <c r="O240" s="14"/>
      <c r="P240" s="9"/>
      <c r="Q240" s="5"/>
    </row>
    <row r="241" spans="1:17" hidden="1" x14ac:dyDescent="0.3">
      <c r="A241" s="9" t="s">
        <v>13</v>
      </c>
      <c r="B241" s="9">
        <v>-21500</v>
      </c>
      <c r="C241" s="14">
        <v>-21500</v>
      </c>
      <c r="E241" s="9">
        <f>(E229*E230*52)-21500</f>
        <v>-21500</v>
      </c>
      <c r="F241" s="14">
        <v>1430.9599999999991</v>
      </c>
      <c r="G241" s="14">
        <v>-21500</v>
      </c>
      <c r="H241" s="14">
        <v>-21500</v>
      </c>
      <c r="I241" s="9">
        <f>(I229*I230*52)-21500</f>
        <v>-21500</v>
      </c>
      <c r="J241" s="14">
        <v>-21500</v>
      </c>
      <c r="K241" s="14">
        <v>1888.0191999999988</v>
      </c>
      <c r="L241" s="14">
        <v>-21500</v>
      </c>
      <c r="M241" s="9">
        <v>-21500</v>
      </c>
      <c r="N241" s="9">
        <v>2165.4911999999999</v>
      </c>
      <c r="O241" s="14"/>
      <c r="P241" s="9"/>
      <c r="Q241" s="5"/>
    </row>
    <row r="242" spans="1:17" hidden="1" x14ac:dyDescent="0.3">
      <c r="C242" s="14"/>
      <c r="F242" s="14"/>
      <c r="G242" s="14"/>
      <c r="H242" s="14"/>
      <c r="J242" s="14"/>
      <c r="K242" s="14"/>
      <c r="L242" s="14"/>
      <c r="O242" s="14"/>
      <c r="P242" s="9"/>
      <c r="Q242" s="5"/>
    </row>
    <row r="243" spans="1:17" hidden="1" x14ac:dyDescent="0.3">
      <c r="A243" s="9" t="s">
        <v>98</v>
      </c>
      <c r="B243" s="9" t="s">
        <v>84</v>
      </c>
      <c r="C243" s="14" t="s">
        <v>84</v>
      </c>
      <c r="D243" s="9" t="s">
        <v>84</v>
      </c>
      <c r="E243" s="9" t="s">
        <v>84</v>
      </c>
      <c r="F243" s="14" t="s">
        <v>84</v>
      </c>
      <c r="G243" s="14" t="s">
        <v>84</v>
      </c>
      <c r="H243" s="14" t="s">
        <v>84</v>
      </c>
      <c r="I243" s="9" t="s">
        <v>84</v>
      </c>
      <c r="J243" s="14" t="s">
        <v>84</v>
      </c>
      <c r="K243" s="14" t="s">
        <v>84</v>
      </c>
      <c r="L243" s="14" t="s">
        <v>84</v>
      </c>
      <c r="M243" s="9" t="s">
        <v>84</v>
      </c>
      <c r="N243" s="9" t="s">
        <v>84</v>
      </c>
      <c r="O243" s="14"/>
      <c r="P243" s="9"/>
      <c r="Q243" s="5"/>
    </row>
    <row r="244" spans="1:17" hidden="1" x14ac:dyDescent="0.3">
      <c r="A244" s="9" t="s">
        <v>99</v>
      </c>
      <c r="C244" s="15"/>
      <c r="D244" s="3">
        <v>17</v>
      </c>
      <c r="E244" s="3"/>
      <c r="F244" s="15"/>
      <c r="G244" s="15"/>
      <c r="H244" s="15"/>
      <c r="I244" s="3"/>
      <c r="J244" s="15"/>
      <c r="K244" s="15">
        <v>159</v>
      </c>
      <c r="L244" s="15"/>
      <c r="N244" s="9">
        <v>5</v>
      </c>
      <c r="O244" s="15"/>
      <c r="P244" s="9"/>
      <c r="Q244" s="5"/>
    </row>
    <row r="245" spans="1:17" hidden="1" x14ac:dyDescent="0.3">
      <c r="A245" s="9" t="s">
        <v>100</v>
      </c>
      <c r="C245" s="15"/>
      <c r="D245" s="3">
        <v>4</v>
      </c>
      <c r="E245" s="3"/>
      <c r="F245" s="15"/>
      <c r="G245" s="15"/>
      <c r="H245" s="15"/>
      <c r="I245" s="3"/>
      <c r="J245" s="15"/>
      <c r="K245" s="15">
        <v>152</v>
      </c>
      <c r="L245" s="15"/>
      <c r="N245" s="9">
        <v>1</v>
      </c>
      <c r="O245" s="15"/>
      <c r="P245" s="9"/>
      <c r="Q245" s="5"/>
    </row>
    <row r="246" spans="1:17" hidden="1" x14ac:dyDescent="0.3">
      <c r="A246" s="9" t="s">
        <v>101</v>
      </c>
      <c r="C246" s="15"/>
      <c r="D246" s="3">
        <v>2</v>
      </c>
      <c r="E246" s="3"/>
      <c r="F246" s="15"/>
      <c r="G246" s="15"/>
      <c r="H246" s="15"/>
      <c r="I246" s="3"/>
      <c r="J246" s="15"/>
      <c r="K246" s="15">
        <v>98</v>
      </c>
      <c r="L246" s="15"/>
      <c r="N246" s="9">
        <v>1</v>
      </c>
      <c r="O246" s="15"/>
      <c r="P246" s="9"/>
      <c r="Q246" s="5"/>
    </row>
    <row r="247" spans="1:17" hidden="1" x14ac:dyDescent="0.3">
      <c r="A247" s="9" t="s">
        <v>102</v>
      </c>
      <c r="B247" s="24">
        <v>0</v>
      </c>
      <c r="C247" s="25">
        <v>0</v>
      </c>
      <c r="D247" s="26">
        <v>0</v>
      </c>
      <c r="E247" s="26">
        <v>0</v>
      </c>
      <c r="F247" s="25">
        <v>0</v>
      </c>
      <c r="G247" s="25">
        <v>0</v>
      </c>
      <c r="H247" s="25">
        <v>0</v>
      </c>
      <c r="I247" s="26">
        <v>0</v>
      </c>
      <c r="J247" s="25">
        <v>0</v>
      </c>
      <c r="K247" s="25">
        <v>0.28570000000000001</v>
      </c>
      <c r="L247" s="25">
        <v>0</v>
      </c>
      <c r="M247" s="24">
        <v>0</v>
      </c>
      <c r="N247" s="24">
        <v>0</v>
      </c>
      <c r="O247" s="25"/>
      <c r="P247" s="9"/>
      <c r="Q247" s="5"/>
    </row>
    <row r="248" spans="1:17" hidden="1" x14ac:dyDescent="0.3">
      <c r="A248" s="9" t="s">
        <v>103</v>
      </c>
      <c r="C248" s="15"/>
      <c r="D248" s="3">
        <v>16.850000000000001</v>
      </c>
      <c r="E248" s="3"/>
      <c r="F248" s="15"/>
      <c r="G248" s="15"/>
      <c r="H248" s="15"/>
      <c r="I248" s="3"/>
      <c r="J248" s="15"/>
      <c r="K248" s="15">
        <v>13.69</v>
      </c>
      <c r="L248" s="15"/>
      <c r="N248" s="9">
        <v>23.14</v>
      </c>
      <c r="O248" s="15"/>
      <c r="P248" s="9"/>
      <c r="Q248" s="5"/>
    </row>
    <row r="249" spans="1:17" hidden="1" x14ac:dyDescent="0.3">
      <c r="A249" s="9" t="s">
        <v>104</v>
      </c>
      <c r="C249" s="15"/>
      <c r="D249" s="3">
        <v>40</v>
      </c>
      <c r="E249" s="3"/>
      <c r="F249" s="15"/>
      <c r="G249" s="15"/>
      <c r="H249" s="15"/>
      <c r="I249" s="3"/>
      <c r="J249" s="15"/>
      <c r="K249" s="15">
        <v>32.520000000000003</v>
      </c>
      <c r="L249" s="15"/>
      <c r="N249" s="9">
        <v>40</v>
      </c>
      <c r="O249" s="15"/>
      <c r="P249" s="9"/>
      <c r="Q249" s="5"/>
    </row>
    <row r="250" spans="1:17" hidden="1" x14ac:dyDescent="0.3">
      <c r="A250" s="9" t="s">
        <v>105</v>
      </c>
      <c r="C250" s="1"/>
      <c r="D250" s="1">
        <v>21800</v>
      </c>
      <c r="E250" s="1"/>
      <c r="F250" s="1"/>
      <c r="G250" s="1"/>
      <c r="H250" s="1"/>
      <c r="I250" s="1"/>
      <c r="J250" s="1"/>
      <c r="K250" s="1">
        <v>188340.52</v>
      </c>
      <c r="L250" s="1"/>
      <c r="N250" s="18">
        <v>28915</v>
      </c>
      <c r="O250" s="1"/>
      <c r="P250" s="9"/>
      <c r="Q250" s="5"/>
    </row>
    <row r="251" spans="1:17" hidden="1" x14ac:dyDescent="0.3">
      <c r="A251" s="9" t="s">
        <v>106</v>
      </c>
      <c r="B251" s="9" t="s">
        <v>69</v>
      </c>
      <c r="C251" s="7" t="s">
        <v>69</v>
      </c>
      <c r="D251" s="7">
        <f>((D248*D249)*52)*D246</f>
        <v>70096</v>
      </c>
      <c r="E251" s="7">
        <f>((E248*E249)*52)*E246</f>
        <v>0</v>
      </c>
      <c r="F251" s="7">
        <v>0</v>
      </c>
      <c r="G251" s="7">
        <v>0</v>
      </c>
      <c r="H251" s="7">
        <v>0</v>
      </c>
      <c r="I251" s="7">
        <f>((I248*I249)*52)*I246</f>
        <v>0</v>
      </c>
      <c r="J251" s="7">
        <v>0</v>
      </c>
      <c r="K251" s="7">
        <v>2268733.0847999998</v>
      </c>
      <c r="L251" s="7">
        <v>0</v>
      </c>
      <c r="M251" s="9" t="s">
        <v>69</v>
      </c>
      <c r="N251" s="20">
        <v>48131</v>
      </c>
      <c r="O251" s="7"/>
      <c r="P251" s="9"/>
      <c r="Q251" s="5"/>
    </row>
    <row r="252" spans="1:17" hidden="1" x14ac:dyDescent="0.3">
      <c r="A252" s="9" t="s">
        <v>43</v>
      </c>
      <c r="B252" s="9" t="s">
        <v>69</v>
      </c>
      <c r="C252" s="1" t="s">
        <v>69</v>
      </c>
      <c r="D252" s="1">
        <f>(D251)*G260</f>
        <v>-1507064000</v>
      </c>
      <c r="E252" s="1">
        <f>(E251)*0.276</f>
        <v>0</v>
      </c>
      <c r="F252" s="1">
        <v>0</v>
      </c>
      <c r="G252" s="1">
        <v>0</v>
      </c>
      <c r="H252" s="1">
        <v>0</v>
      </c>
      <c r="I252" s="1">
        <f>(I251)*0.276</f>
        <v>0</v>
      </c>
      <c r="J252" s="1">
        <v>0</v>
      </c>
      <c r="K252" s="1">
        <v>642051.46299839986</v>
      </c>
      <c r="L252" s="1">
        <v>0</v>
      </c>
      <c r="M252" s="9" t="s">
        <v>69</v>
      </c>
      <c r="N252" s="20">
        <v>16605</v>
      </c>
      <c r="O252" s="1"/>
      <c r="P252" s="9"/>
      <c r="Q252" s="5"/>
    </row>
    <row r="253" spans="1:17" hidden="1" x14ac:dyDescent="0.3">
      <c r="A253" s="9" t="s">
        <v>44</v>
      </c>
      <c r="B253" s="9" t="s">
        <v>69</v>
      </c>
      <c r="C253" s="7" t="s">
        <v>69</v>
      </c>
      <c r="D253" s="7">
        <f>((D246*D247)*6384)</f>
        <v>0</v>
      </c>
      <c r="E253" s="7">
        <f>((E246*E247)*6384)</f>
        <v>0</v>
      </c>
      <c r="F253" s="7">
        <v>0</v>
      </c>
      <c r="G253" s="7">
        <v>0</v>
      </c>
      <c r="H253" s="7">
        <v>0</v>
      </c>
      <c r="I253" s="7">
        <f>((I246*I247)*6384)</f>
        <v>0</v>
      </c>
      <c r="J253" s="7">
        <v>0</v>
      </c>
      <c r="K253" s="7">
        <v>178743.0624</v>
      </c>
      <c r="L253" s="7">
        <v>0</v>
      </c>
      <c r="M253" s="9" t="s">
        <v>69</v>
      </c>
      <c r="N253" s="9" t="s">
        <v>69</v>
      </c>
      <c r="O253" s="7"/>
      <c r="P253" s="9"/>
      <c r="Q253" s="5"/>
    </row>
    <row r="254" spans="1:17" hidden="1" x14ac:dyDescent="0.3">
      <c r="A254" s="9" t="s">
        <v>107</v>
      </c>
      <c r="B254" s="9" t="s">
        <v>69</v>
      </c>
      <c r="C254" s="7" t="s">
        <v>69</v>
      </c>
      <c r="D254" s="7">
        <f>(D252+D253)</f>
        <v>-1507064000</v>
      </c>
      <c r="E254" s="7">
        <f>(E252+E253)</f>
        <v>0</v>
      </c>
      <c r="F254" s="7">
        <v>0</v>
      </c>
      <c r="G254" s="7">
        <v>0</v>
      </c>
      <c r="H254" s="7">
        <v>0</v>
      </c>
      <c r="I254" s="7">
        <f>(I252+I253)</f>
        <v>0</v>
      </c>
      <c r="J254" s="7">
        <v>0</v>
      </c>
      <c r="K254" s="7">
        <v>820794.52539839991</v>
      </c>
      <c r="L254" s="7">
        <v>0</v>
      </c>
      <c r="M254" s="9" t="s">
        <v>69</v>
      </c>
      <c r="N254" s="20">
        <v>16605</v>
      </c>
      <c r="O254" s="7"/>
      <c r="P254" s="9"/>
      <c r="Q254" s="5"/>
    </row>
    <row r="255" spans="1:17" hidden="1" x14ac:dyDescent="0.3">
      <c r="A255" s="9" t="s">
        <v>108</v>
      </c>
      <c r="B255" s="9">
        <v>0</v>
      </c>
      <c r="C255" s="14" t="e">
        <v>#DIV/0!</v>
      </c>
      <c r="D255" s="9">
        <f>(D254/D250)*100</f>
        <v>-6913137.6146788988</v>
      </c>
      <c r="E255" s="9">
        <v>0</v>
      </c>
      <c r="F255" s="14">
        <v>0</v>
      </c>
      <c r="G255" s="14">
        <v>0</v>
      </c>
      <c r="H255" s="14">
        <v>0</v>
      </c>
      <c r="I255" s="9">
        <v>0</v>
      </c>
      <c r="J255" s="14">
        <v>0</v>
      </c>
      <c r="K255" s="14">
        <v>435.80347202949207</v>
      </c>
      <c r="L255" s="14">
        <v>0</v>
      </c>
      <c r="M255" s="9">
        <v>0</v>
      </c>
      <c r="N255" s="9">
        <v>57.427854050000001</v>
      </c>
      <c r="O255" s="14"/>
      <c r="P255" s="9"/>
      <c r="Q255" s="5"/>
    </row>
    <row r="256" spans="1:17" hidden="1" x14ac:dyDescent="0.3">
      <c r="A256" s="9" t="s">
        <v>47</v>
      </c>
      <c r="B256" s="9">
        <v>0</v>
      </c>
      <c r="C256" s="21" t="e">
        <v>#DIV/0!</v>
      </c>
      <c r="D256" s="21">
        <f>+D255*0.01</f>
        <v>-69131.376146788985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4.3580347202949206</v>
      </c>
      <c r="L256" s="21">
        <v>0</v>
      </c>
      <c r="M256" s="9">
        <v>0</v>
      </c>
      <c r="N256" s="16">
        <v>0.56999999999999995</v>
      </c>
      <c r="O256" s="21"/>
      <c r="P256" s="9"/>
      <c r="Q256" s="5"/>
    </row>
    <row r="257" spans="1:17" hidden="1" x14ac:dyDescent="0.3">
      <c r="C257" s="14"/>
      <c r="F257" s="14"/>
      <c r="G257" s="14"/>
      <c r="H257" s="14"/>
      <c r="J257" s="14"/>
      <c r="K257" s="14"/>
      <c r="L257" s="14"/>
      <c r="O257" s="14"/>
      <c r="P257" s="9"/>
      <c r="Q257" s="5"/>
    </row>
    <row r="258" spans="1:17" hidden="1" x14ac:dyDescent="0.3">
      <c r="C258" s="14"/>
      <c r="F258" s="14"/>
      <c r="G258" s="14"/>
      <c r="H258" s="14"/>
      <c r="J258" s="14"/>
      <c r="K258" s="14"/>
      <c r="L258" s="14"/>
      <c r="O258" s="14"/>
      <c r="P258" s="9"/>
      <c r="Q258" s="5"/>
    </row>
    <row r="259" spans="1:17" hidden="1" x14ac:dyDescent="0.3">
      <c r="A259" s="9" t="s">
        <v>12</v>
      </c>
      <c r="B259" s="9">
        <v>0</v>
      </c>
      <c r="C259" s="14">
        <v>0</v>
      </c>
      <c r="D259" s="9">
        <f>(D248*D249*52)</f>
        <v>35048</v>
      </c>
      <c r="E259" s="9">
        <f>(E248*E249*52)</f>
        <v>0</v>
      </c>
      <c r="F259" s="14">
        <v>0</v>
      </c>
      <c r="G259" s="14">
        <v>0</v>
      </c>
      <c r="H259" s="14">
        <v>0</v>
      </c>
      <c r="I259" s="9">
        <f>(I248*I249*52)</f>
        <v>0</v>
      </c>
      <c r="J259" s="14">
        <v>0</v>
      </c>
      <c r="K259" s="14">
        <v>23150.337599999999</v>
      </c>
      <c r="L259" s="14">
        <v>0</v>
      </c>
      <c r="M259" s="9">
        <v>0</v>
      </c>
      <c r="N259" s="9">
        <v>48131.199999999997</v>
      </c>
      <c r="O259" s="14"/>
      <c r="P259" s="9"/>
      <c r="Q259" s="5"/>
    </row>
    <row r="260" spans="1:17" hidden="1" x14ac:dyDescent="0.3">
      <c r="A260" s="9" t="s">
        <v>13</v>
      </c>
      <c r="B260" s="9">
        <v>-21500</v>
      </c>
      <c r="C260" s="14">
        <v>-21500</v>
      </c>
      <c r="D260" s="9">
        <f>(D248*D249*52)-21500</f>
        <v>13548</v>
      </c>
      <c r="E260" s="9">
        <f>(E248*E249*52)-21500</f>
        <v>-21500</v>
      </c>
      <c r="F260" s="14">
        <v>-21500</v>
      </c>
      <c r="G260" s="14">
        <v>-21500</v>
      </c>
      <c r="H260" s="14">
        <v>-21500</v>
      </c>
      <c r="I260" s="9">
        <f>(I248*I249*52)-21500</f>
        <v>-21500</v>
      </c>
      <c r="J260" s="14">
        <v>-21500</v>
      </c>
      <c r="K260" s="14">
        <v>1650.3375999999989</v>
      </c>
      <c r="L260" s="14">
        <v>-21500</v>
      </c>
      <c r="M260" s="9">
        <v>-21500</v>
      </c>
      <c r="N260" s="9">
        <v>26631.200000000001</v>
      </c>
      <c r="O260" s="14"/>
      <c r="P260" s="9"/>
      <c r="Q260" s="5"/>
    </row>
    <row r="261" spans="1:17" hidden="1" x14ac:dyDescent="0.3">
      <c r="C261" s="14"/>
      <c r="F261" s="14"/>
      <c r="G261" s="14"/>
      <c r="H261" s="14"/>
      <c r="J261" s="14"/>
      <c r="K261" s="14"/>
      <c r="L261" s="14"/>
      <c r="O261" s="14"/>
      <c r="P261" s="9"/>
      <c r="Q261" s="5"/>
    </row>
    <row r="262" spans="1:17" hidden="1" x14ac:dyDescent="0.3">
      <c r="A262" s="9" t="s">
        <v>98</v>
      </c>
      <c r="B262" s="9" t="s">
        <v>84</v>
      </c>
      <c r="C262" s="14" t="s">
        <v>84</v>
      </c>
      <c r="D262" s="9" t="s">
        <v>132</v>
      </c>
      <c r="E262" s="9" t="s">
        <v>84</v>
      </c>
      <c r="F262" s="14" t="s">
        <v>84</v>
      </c>
      <c r="G262" s="14" t="s">
        <v>84</v>
      </c>
      <c r="H262" s="14" t="s">
        <v>84</v>
      </c>
      <c r="I262" s="9" t="s">
        <v>84</v>
      </c>
      <c r="J262" s="14" t="s">
        <v>84</v>
      </c>
      <c r="K262" s="14" t="s">
        <v>84</v>
      </c>
      <c r="L262" s="14" t="s">
        <v>84</v>
      </c>
      <c r="M262" s="9" t="s">
        <v>84</v>
      </c>
      <c r="N262" s="9" t="s">
        <v>84</v>
      </c>
      <c r="O262" s="14"/>
      <c r="P262" s="9"/>
      <c r="Q262" s="5"/>
    </row>
    <row r="263" spans="1:17" hidden="1" x14ac:dyDescent="0.3">
      <c r="A263" s="9" t="s">
        <v>99</v>
      </c>
      <c r="C263" s="15"/>
      <c r="D263" s="3">
        <v>72</v>
      </c>
      <c r="E263" s="3"/>
      <c r="F263" s="15"/>
      <c r="G263" s="15"/>
      <c r="H263" s="15"/>
      <c r="I263" s="3"/>
      <c r="J263" s="15"/>
      <c r="K263" s="15">
        <v>31</v>
      </c>
      <c r="L263" s="15"/>
      <c r="O263" s="15"/>
      <c r="P263" s="9"/>
      <c r="Q263" s="5"/>
    </row>
    <row r="264" spans="1:17" hidden="1" x14ac:dyDescent="0.3">
      <c r="A264" s="9" t="s">
        <v>100</v>
      </c>
      <c r="C264" s="15"/>
      <c r="D264" s="3">
        <v>26</v>
      </c>
      <c r="E264" s="3"/>
      <c r="F264" s="15"/>
      <c r="G264" s="15"/>
      <c r="H264" s="15"/>
      <c r="I264" s="3"/>
      <c r="J264" s="15"/>
      <c r="K264" s="15">
        <v>31</v>
      </c>
      <c r="L264" s="15"/>
      <c r="O264" s="15"/>
      <c r="P264" s="9"/>
      <c r="Q264" s="5"/>
    </row>
    <row r="265" spans="1:17" hidden="1" x14ac:dyDescent="0.3">
      <c r="A265" s="9" t="s">
        <v>101</v>
      </c>
      <c r="C265" s="15"/>
      <c r="D265" s="3">
        <v>13</v>
      </c>
      <c r="E265" s="3"/>
      <c r="F265" s="15"/>
      <c r="G265" s="15"/>
      <c r="H265" s="15"/>
      <c r="I265" s="3"/>
      <c r="J265" s="15"/>
      <c r="K265" s="15">
        <v>22</v>
      </c>
      <c r="L265" s="15"/>
      <c r="O265" s="15"/>
      <c r="P265" s="9"/>
      <c r="Q265" s="5"/>
    </row>
    <row r="266" spans="1:17" hidden="1" x14ac:dyDescent="0.3">
      <c r="A266" s="9" t="s">
        <v>102</v>
      </c>
      <c r="B266" s="24">
        <v>0</v>
      </c>
      <c r="C266" s="25">
        <v>0</v>
      </c>
      <c r="D266" s="26">
        <f>1/13</f>
        <v>7.6923076923076927E-2</v>
      </c>
      <c r="E266" s="26">
        <v>0</v>
      </c>
      <c r="F266" s="25">
        <v>0</v>
      </c>
      <c r="G266" s="25">
        <v>0</v>
      </c>
      <c r="H266" s="25">
        <v>0</v>
      </c>
      <c r="I266" s="26">
        <v>0</v>
      </c>
      <c r="J266" s="25">
        <v>0</v>
      </c>
      <c r="K266" s="25">
        <v>9.0899999999999995E-2</v>
      </c>
      <c r="L266" s="25">
        <v>0</v>
      </c>
      <c r="M266" s="24">
        <v>0</v>
      </c>
      <c r="N266" s="24">
        <v>0</v>
      </c>
      <c r="O266" s="25"/>
      <c r="P266" s="9"/>
      <c r="Q266" s="5"/>
    </row>
    <row r="267" spans="1:17" hidden="1" x14ac:dyDescent="0.3">
      <c r="A267" s="9" t="s">
        <v>103</v>
      </c>
      <c r="C267" s="15"/>
      <c r="D267" s="3">
        <v>9.81</v>
      </c>
      <c r="E267" s="3"/>
      <c r="F267" s="15"/>
      <c r="G267" s="15"/>
      <c r="H267" s="15"/>
      <c r="I267" s="3"/>
      <c r="J267" s="15"/>
      <c r="K267" s="15">
        <v>13.53</v>
      </c>
      <c r="L267" s="15"/>
      <c r="O267" s="15"/>
      <c r="P267" s="9"/>
      <c r="Q267" s="5"/>
    </row>
    <row r="268" spans="1:17" hidden="1" x14ac:dyDescent="0.3">
      <c r="A268" s="9" t="s">
        <v>104</v>
      </c>
      <c r="C268" s="15"/>
      <c r="D268" s="3">
        <v>15.25</v>
      </c>
      <c r="E268" s="3"/>
      <c r="F268" s="15"/>
      <c r="G268" s="15"/>
      <c r="H268" s="15"/>
      <c r="I268" s="3"/>
      <c r="J268" s="15"/>
      <c r="K268" s="15">
        <v>39.770000000000003</v>
      </c>
      <c r="L268" s="15"/>
      <c r="O268" s="15"/>
      <c r="P268" s="9"/>
      <c r="Q268" s="5"/>
    </row>
    <row r="269" spans="1:17" hidden="1" x14ac:dyDescent="0.3">
      <c r="A269" s="9" t="s">
        <v>105</v>
      </c>
      <c r="C269" s="1"/>
      <c r="D269" s="1">
        <v>57814.8</v>
      </c>
      <c r="E269" s="1"/>
      <c r="F269" s="1"/>
      <c r="G269" s="1"/>
      <c r="H269" s="1"/>
      <c r="I269" s="1"/>
      <c r="J269" s="1"/>
      <c r="K269" s="1">
        <v>36664.89</v>
      </c>
      <c r="L269" s="1"/>
      <c r="O269" s="1"/>
      <c r="P269" s="9"/>
      <c r="Q269" s="5"/>
    </row>
    <row r="270" spans="1:17" hidden="1" x14ac:dyDescent="0.3">
      <c r="A270" s="9" t="s">
        <v>106</v>
      </c>
      <c r="B270" s="9" t="s">
        <v>69</v>
      </c>
      <c r="C270" s="7" t="s">
        <v>69</v>
      </c>
      <c r="D270" s="7">
        <f>((D267*D268)*52)*D265</f>
        <v>101131.29000000001</v>
      </c>
      <c r="E270" s="7">
        <f>((E267*E268)*52)*E265</f>
        <v>0</v>
      </c>
      <c r="F270" s="7">
        <v>0</v>
      </c>
      <c r="G270" s="7">
        <v>0</v>
      </c>
      <c r="H270" s="7">
        <v>0</v>
      </c>
      <c r="I270" s="7">
        <f>((I267*I268)*52)*I265</f>
        <v>0</v>
      </c>
      <c r="J270" s="7">
        <v>0</v>
      </c>
      <c r="K270" s="7">
        <v>615572.7864000001</v>
      </c>
      <c r="L270" s="7">
        <v>0</v>
      </c>
      <c r="M270" s="9" t="s">
        <v>69</v>
      </c>
      <c r="N270" s="9" t="s">
        <v>69</v>
      </c>
      <c r="O270" s="7"/>
      <c r="P270" s="9"/>
      <c r="Q270" s="5"/>
    </row>
    <row r="271" spans="1:17" hidden="1" x14ac:dyDescent="0.3">
      <c r="A271" s="9" t="s">
        <v>43</v>
      </c>
      <c r="B271" s="9" t="s">
        <v>69</v>
      </c>
      <c r="C271" s="1" t="s">
        <v>69</v>
      </c>
      <c r="D271" s="1">
        <f>(D270)*0.276</f>
        <v>27912.236040000003</v>
      </c>
      <c r="E271" s="1">
        <f>(E270)*0.276</f>
        <v>0</v>
      </c>
      <c r="F271" s="1">
        <v>0</v>
      </c>
      <c r="G271" s="1">
        <v>0</v>
      </c>
      <c r="H271" s="1">
        <v>0</v>
      </c>
      <c r="I271" s="1">
        <f>(I270)*0.276</f>
        <v>0</v>
      </c>
      <c r="J271" s="1">
        <v>0</v>
      </c>
      <c r="K271" s="1">
        <v>184056.26313360003</v>
      </c>
      <c r="L271" s="1">
        <v>0</v>
      </c>
      <c r="M271" s="9" t="s">
        <v>69</v>
      </c>
      <c r="N271" s="9" t="s">
        <v>69</v>
      </c>
      <c r="O271" s="1"/>
      <c r="P271" s="9"/>
      <c r="Q271" s="5"/>
    </row>
    <row r="272" spans="1:17" hidden="1" x14ac:dyDescent="0.3">
      <c r="A272" s="9" t="s">
        <v>44</v>
      </c>
      <c r="B272" s="9" t="s">
        <v>69</v>
      </c>
      <c r="C272" s="7" t="s">
        <v>69</v>
      </c>
      <c r="D272" s="7">
        <f>((D265*D266)*6384)</f>
        <v>6384</v>
      </c>
      <c r="E272" s="7">
        <f>((E265*E266)*6384)</f>
        <v>0</v>
      </c>
      <c r="F272" s="7">
        <v>0</v>
      </c>
      <c r="G272" s="7">
        <v>0</v>
      </c>
      <c r="H272" s="7">
        <v>0</v>
      </c>
      <c r="I272" s="7">
        <f>((I265*I266)*6384)</f>
        <v>0</v>
      </c>
      <c r="J272" s="7">
        <v>0</v>
      </c>
      <c r="K272" s="7">
        <v>12766.723199999999</v>
      </c>
      <c r="L272" s="7">
        <v>0</v>
      </c>
      <c r="M272" s="9" t="s">
        <v>69</v>
      </c>
      <c r="N272" s="9" t="s">
        <v>69</v>
      </c>
      <c r="O272" s="7"/>
      <c r="P272" s="9"/>
      <c r="Q272" s="5"/>
    </row>
    <row r="273" spans="1:17" hidden="1" x14ac:dyDescent="0.3">
      <c r="A273" s="9" t="s">
        <v>107</v>
      </c>
      <c r="B273" s="9" t="s">
        <v>69</v>
      </c>
      <c r="C273" s="7" t="s">
        <v>69</v>
      </c>
      <c r="D273" s="7">
        <f>(D271+D272)</f>
        <v>34296.236040000003</v>
      </c>
      <c r="E273" s="7">
        <f>(E271+E272)</f>
        <v>0</v>
      </c>
      <c r="F273" s="7">
        <v>0</v>
      </c>
      <c r="G273" s="7">
        <v>0</v>
      </c>
      <c r="H273" s="7">
        <v>0</v>
      </c>
      <c r="I273" s="7">
        <f>(I271+I272)</f>
        <v>0</v>
      </c>
      <c r="J273" s="7">
        <v>0</v>
      </c>
      <c r="K273" s="7">
        <v>196822.98633360004</v>
      </c>
      <c r="L273" s="7">
        <v>0</v>
      </c>
      <c r="M273" s="9" t="s">
        <v>69</v>
      </c>
      <c r="N273" s="9" t="s">
        <v>69</v>
      </c>
      <c r="O273" s="7"/>
      <c r="P273" s="9"/>
      <c r="Q273" s="5"/>
    </row>
    <row r="274" spans="1:17" hidden="1" x14ac:dyDescent="0.3">
      <c r="A274" s="9" t="s">
        <v>108</v>
      </c>
      <c r="B274" s="9">
        <v>0</v>
      </c>
      <c r="C274" s="14" t="e">
        <v>#DIV/0!</v>
      </c>
      <c r="D274" s="9">
        <f>(D273/D269)*100</f>
        <v>59.320859087984388</v>
      </c>
      <c r="E274" s="9" t="e">
        <f>(E273/E269)*100</f>
        <v>#DIV/0!</v>
      </c>
      <c r="F274" s="14">
        <v>0</v>
      </c>
      <c r="G274" s="14">
        <v>0</v>
      </c>
      <c r="H274" s="14">
        <v>0</v>
      </c>
      <c r="I274" s="9" t="e">
        <f>(I273/I269)*100</f>
        <v>#DIV/0!</v>
      </c>
      <c r="J274" s="14">
        <v>0</v>
      </c>
      <c r="K274" s="14">
        <v>536.8159739020083</v>
      </c>
      <c r="L274" s="14">
        <v>0</v>
      </c>
      <c r="M274" s="9">
        <v>0</v>
      </c>
      <c r="N274" s="9">
        <v>0</v>
      </c>
      <c r="O274" s="14"/>
      <c r="P274" s="9"/>
      <c r="Q274" s="5"/>
    </row>
    <row r="275" spans="1:17" hidden="1" x14ac:dyDescent="0.3">
      <c r="A275" s="9" t="s">
        <v>47</v>
      </c>
      <c r="B275" s="9">
        <v>0</v>
      </c>
      <c r="C275" s="21" t="e">
        <v>#DIV/0!</v>
      </c>
      <c r="D275" s="21">
        <f>+D274*0.01</f>
        <v>0.5932085908798439</v>
      </c>
      <c r="E275" s="21" t="e">
        <f>+E274*0.01</f>
        <v>#DIV/0!</v>
      </c>
      <c r="F275" s="21">
        <v>0</v>
      </c>
      <c r="G275" s="21">
        <v>0</v>
      </c>
      <c r="H275" s="21">
        <v>0</v>
      </c>
      <c r="I275" s="21" t="e">
        <f>+I274*0.01</f>
        <v>#DIV/0!</v>
      </c>
      <c r="J275" s="21">
        <v>0</v>
      </c>
      <c r="K275" s="21">
        <v>5.3681597390200828</v>
      </c>
      <c r="L275" s="21">
        <v>0</v>
      </c>
      <c r="M275" s="9">
        <v>0</v>
      </c>
      <c r="N275" s="9">
        <v>0</v>
      </c>
      <c r="O275" s="21"/>
      <c r="P275" s="9"/>
      <c r="Q275" s="5"/>
    </row>
    <row r="276" spans="1:17" hidden="1" x14ac:dyDescent="0.3">
      <c r="C276" s="14"/>
      <c r="F276" s="14"/>
      <c r="G276" s="14"/>
      <c r="H276" s="14"/>
      <c r="J276" s="14"/>
      <c r="K276" s="14"/>
      <c r="L276" s="14"/>
      <c r="O276" s="14"/>
      <c r="P276" s="9"/>
      <c r="Q276" s="5"/>
    </row>
    <row r="277" spans="1:17" hidden="1" x14ac:dyDescent="0.3">
      <c r="C277" s="14"/>
      <c r="F277" s="14"/>
      <c r="G277" s="14"/>
      <c r="H277" s="14"/>
      <c r="J277" s="14"/>
      <c r="K277" s="14"/>
      <c r="L277" s="14"/>
      <c r="O277" s="14"/>
      <c r="P277" s="9"/>
      <c r="Q277" s="5"/>
    </row>
    <row r="278" spans="1:17" hidden="1" x14ac:dyDescent="0.3">
      <c r="A278" s="9" t="s">
        <v>12</v>
      </c>
      <c r="B278" s="9">
        <v>0</v>
      </c>
      <c r="C278" s="14">
        <v>0</v>
      </c>
      <c r="D278" s="9">
        <f>(D267*D268*52)</f>
        <v>7779.3300000000008</v>
      </c>
      <c r="E278" s="9">
        <f>(E267*E268*52)</f>
        <v>0</v>
      </c>
      <c r="F278" s="14">
        <v>0</v>
      </c>
      <c r="G278" s="14">
        <v>0</v>
      </c>
      <c r="H278" s="14">
        <v>0</v>
      </c>
      <c r="I278" s="9">
        <f>(I267*I268*52)</f>
        <v>0</v>
      </c>
      <c r="J278" s="14">
        <v>0</v>
      </c>
      <c r="K278" s="14">
        <v>27980.581200000004</v>
      </c>
      <c r="L278" s="14">
        <v>0</v>
      </c>
      <c r="M278" s="9">
        <v>0</v>
      </c>
      <c r="N278" s="9">
        <v>0</v>
      </c>
      <c r="O278" s="14"/>
      <c r="P278" s="9"/>
      <c r="Q278" s="5"/>
    </row>
    <row r="279" spans="1:17" hidden="1" x14ac:dyDescent="0.3">
      <c r="A279" s="9" t="s">
        <v>13</v>
      </c>
      <c r="B279" s="9">
        <v>-21500</v>
      </c>
      <c r="C279" s="14">
        <v>-21500</v>
      </c>
      <c r="D279" s="9">
        <f>(D267*D268*52)-21500</f>
        <v>-13720.669999999998</v>
      </c>
      <c r="E279" s="9">
        <f>(E267*E268*52)-21500</f>
        <v>-21500</v>
      </c>
      <c r="F279" s="14">
        <v>-21500</v>
      </c>
      <c r="G279" s="14">
        <v>-21500</v>
      </c>
      <c r="H279" s="14">
        <v>-21500</v>
      </c>
      <c r="I279" s="9">
        <f>(I267*I268*52)-21500</f>
        <v>-21500</v>
      </c>
      <c r="J279" s="14">
        <v>-21500</v>
      </c>
      <c r="K279" s="14">
        <v>6480.5812000000042</v>
      </c>
      <c r="L279" s="14">
        <v>-21500</v>
      </c>
      <c r="M279" s="9">
        <v>-21500</v>
      </c>
      <c r="N279" s="9">
        <v>-21500</v>
      </c>
      <c r="O279" s="14"/>
      <c r="P279" s="9"/>
      <c r="Q279" s="5"/>
    </row>
    <row r="280" spans="1:17" hidden="1" x14ac:dyDescent="0.3">
      <c r="C280" s="14"/>
      <c r="F280" s="14"/>
      <c r="G280" s="14"/>
      <c r="H280" s="14"/>
      <c r="J280" s="14"/>
      <c r="K280" s="14"/>
      <c r="L280" s="14"/>
      <c r="O280" s="14"/>
      <c r="P280" s="9"/>
      <c r="Q280" s="5"/>
    </row>
    <row r="281" spans="1:17" hidden="1" x14ac:dyDescent="0.3">
      <c r="A281" s="9" t="s">
        <v>98</v>
      </c>
      <c r="B281" s="9" t="s">
        <v>84</v>
      </c>
      <c r="C281" s="14" t="s">
        <v>84</v>
      </c>
      <c r="D281" s="9" t="s">
        <v>84</v>
      </c>
      <c r="E281" s="9" t="s">
        <v>84</v>
      </c>
      <c r="F281" s="14" t="s">
        <v>84</v>
      </c>
      <c r="G281" s="14" t="s">
        <v>84</v>
      </c>
      <c r="H281" s="14" t="s">
        <v>84</v>
      </c>
      <c r="I281" s="9" t="s">
        <v>84</v>
      </c>
      <c r="J281" s="14" t="s">
        <v>84</v>
      </c>
      <c r="K281" s="14" t="s">
        <v>84</v>
      </c>
      <c r="L281" s="14" t="s">
        <v>84</v>
      </c>
      <c r="M281" s="9" t="s">
        <v>84</v>
      </c>
      <c r="N281" s="9" t="s">
        <v>84</v>
      </c>
      <c r="O281" s="14"/>
      <c r="P281" s="9"/>
      <c r="Q281" s="5"/>
    </row>
    <row r="282" spans="1:17" hidden="1" x14ac:dyDescent="0.3">
      <c r="A282" s="9" t="s">
        <v>99</v>
      </c>
      <c r="C282" s="15"/>
      <c r="D282" s="3"/>
      <c r="E282" s="3"/>
      <c r="F282" s="15"/>
      <c r="G282" s="15"/>
      <c r="H282" s="15"/>
      <c r="I282" s="3"/>
      <c r="J282" s="15"/>
      <c r="K282" s="15"/>
      <c r="L282" s="15"/>
      <c r="O282" s="15"/>
      <c r="P282" s="9"/>
      <c r="Q282" s="5"/>
    </row>
    <row r="283" spans="1:17" hidden="1" x14ac:dyDescent="0.3">
      <c r="A283" s="9" t="s">
        <v>100</v>
      </c>
      <c r="C283" s="15"/>
      <c r="D283" s="3"/>
      <c r="E283" s="3"/>
      <c r="F283" s="15"/>
      <c r="G283" s="15"/>
      <c r="H283" s="15"/>
      <c r="I283" s="3"/>
      <c r="J283" s="15"/>
      <c r="K283" s="15"/>
      <c r="L283" s="15"/>
      <c r="O283" s="15"/>
      <c r="P283" s="9"/>
      <c r="Q283" s="5"/>
    </row>
    <row r="284" spans="1:17" hidden="1" x14ac:dyDescent="0.3">
      <c r="A284" s="9" t="s">
        <v>101</v>
      </c>
      <c r="C284" s="15"/>
      <c r="D284" s="3"/>
      <c r="E284" s="3"/>
      <c r="F284" s="15"/>
      <c r="G284" s="15"/>
      <c r="H284" s="15"/>
      <c r="I284" s="3"/>
      <c r="J284" s="15"/>
      <c r="K284" s="15"/>
      <c r="L284" s="15"/>
      <c r="O284" s="15"/>
      <c r="P284" s="9"/>
      <c r="Q284" s="5"/>
    </row>
    <row r="285" spans="1:17" hidden="1" x14ac:dyDescent="0.3">
      <c r="A285" s="9" t="s">
        <v>102</v>
      </c>
      <c r="B285" s="24">
        <v>0</v>
      </c>
      <c r="C285" s="25">
        <v>0</v>
      </c>
      <c r="D285" s="26">
        <v>0</v>
      </c>
      <c r="E285" s="26">
        <v>0</v>
      </c>
      <c r="F285" s="25">
        <v>0</v>
      </c>
      <c r="G285" s="25">
        <v>0</v>
      </c>
      <c r="H285" s="25">
        <v>0</v>
      </c>
      <c r="I285" s="26">
        <v>0</v>
      </c>
      <c r="J285" s="25">
        <v>0</v>
      </c>
      <c r="K285" s="25">
        <v>0</v>
      </c>
      <c r="L285" s="25">
        <v>0</v>
      </c>
      <c r="M285" s="24">
        <v>0</v>
      </c>
      <c r="N285" s="24">
        <v>0</v>
      </c>
      <c r="O285" s="25"/>
      <c r="P285" s="9"/>
      <c r="Q285" s="5"/>
    </row>
    <row r="286" spans="1:17" hidden="1" x14ac:dyDescent="0.3">
      <c r="A286" s="9" t="s">
        <v>103</v>
      </c>
      <c r="C286" s="15"/>
      <c r="D286" s="3"/>
      <c r="E286" s="3"/>
      <c r="F286" s="15"/>
      <c r="G286" s="15"/>
      <c r="H286" s="15"/>
      <c r="I286" s="3"/>
      <c r="J286" s="15"/>
      <c r="K286" s="15"/>
      <c r="L286" s="15"/>
      <c r="O286" s="15"/>
      <c r="P286" s="9"/>
      <c r="Q286" s="5"/>
    </row>
    <row r="287" spans="1:17" hidden="1" x14ac:dyDescent="0.3">
      <c r="A287" s="9" t="s">
        <v>104</v>
      </c>
      <c r="C287" s="15"/>
      <c r="D287" s="3"/>
      <c r="E287" s="3"/>
      <c r="F287" s="15"/>
      <c r="G287" s="15"/>
      <c r="H287" s="15"/>
      <c r="I287" s="3"/>
      <c r="J287" s="15"/>
      <c r="K287" s="15"/>
      <c r="L287" s="15"/>
      <c r="O287" s="15"/>
      <c r="P287" s="9"/>
      <c r="Q287" s="5"/>
    </row>
    <row r="288" spans="1:17" hidden="1" x14ac:dyDescent="0.3">
      <c r="A288" s="9" t="s">
        <v>105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O288" s="1"/>
      <c r="P288" s="9"/>
      <c r="Q288" s="5"/>
    </row>
    <row r="289" spans="1:17" hidden="1" x14ac:dyDescent="0.3">
      <c r="A289" s="9" t="s">
        <v>106</v>
      </c>
      <c r="B289" s="9" t="s">
        <v>69</v>
      </c>
      <c r="C289" s="7" t="s">
        <v>69</v>
      </c>
      <c r="D289" s="7">
        <f>((D286*D287)*52)*D284</f>
        <v>0</v>
      </c>
      <c r="E289" s="7">
        <f>((E286*E287)*52)*E284</f>
        <v>0</v>
      </c>
      <c r="F289" s="7">
        <v>0</v>
      </c>
      <c r="G289" s="7">
        <v>0</v>
      </c>
      <c r="H289" s="7">
        <v>0</v>
      </c>
      <c r="I289" s="7">
        <f>((I286*I287)*52)*I284</f>
        <v>0</v>
      </c>
      <c r="J289" s="7">
        <v>0</v>
      </c>
      <c r="K289" s="7">
        <v>0</v>
      </c>
      <c r="L289" s="7">
        <v>0</v>
      </c>
      <c r="M289" s="9" t="s">
        <v>69</v>
      </c>
      <c r="N289" s="9" t="s">
        <v>69</v>
      </c>
      <c r="O289" s="7"/>
      <c r="P289" s="9"/>
      <c r="Q289" s="5"/>
    </row>
    <row r="290" spans="1:17" hidden="1" x14ac:dyDescent="0.3">
      <c r="A290" s="9" t="s">
        <v>43</v>
      </c>
      <c r="B290" s="9" t="s">
        <v>69</v>
      </c>
      <c r="C290" s="1" t="s">
        <v>69</v>
      </c>
      <c r="D290" s="1">
        <f>(D289)*0.276</f>
        <v>0</v>
      </c>
      <c r="E290" s="1">
        <f>(E289)*0.276</f>
        <v>0</v>
      </c>
      <c r="F290" s="1">
        <v>0</v>
      </c>
      <c r="G290" s="1">
        <v>0</v>
      </c>
      <c r="H290" s="1">
        <v>0</v>
      </c>
      <c r="I290" s="1">
        <f>(I289)*0.276</f>
        <v>0</v>
      </c>
      <c r="J290" s="1">
        <v>0</v>
      </c>
      <c r="K290" s="1">
        <v>0</v>
      </c>
      <c r="L290" s="1">
        <v>0</v>
      </c>
      <c r="M290" s="9" t="s">
        <v>69</v>
      </c>
      <c r="N290" s="9" t="s">
        <v>69</v>
      </c>
      <c r="O290" s="1"/>
      <c r="P290" s="9"/>
      <c r="Q290" s="5"/>
    </row>
    <row r="291" spans="1:17" hidden="1" x14ac:dyDescent="0.3">
      <c r="A291" s="9" t="s">
        <v>44</v>
      </c>
      <c r="B291" s="9" t="s">
        <v>69</v>
      </c>
      <c r="C291" s="7" t="s">
        <v>69</v>
      </c>
      <c r="D291" s="7">
        <f>((D284*D285)*6384)</f>
        <v>0</v>
      </c>
      <c r="E291" s="7">
        <f>((E284*E285)*6384)</f>
        <v>0</v>
      </c>
      <c r="F291" s="7">
        <v>0</v>
      </c>
      <c r="G291" s="7">
        <v>0</v>
      </c>
      <c r="H291" s="7">
        <v>0</v>
      </c>
      <c r="I291" s="7">
        <f>((I284*I285)*6384)</f>
        <v>0</v>
      </c>
      <c r="J291" s="7">
        <v>0</v>
      </c>
      <c r="K291" s="7">
        <v>0</v>
      </c>
      <c r="L291" s="7">
        <v>0</v>
      </c>
      <c r="M291" s="9" t="s">
        <v>69</v>
      </c>
      <c r="N291" s="9" t="s">
        <v>69</v>
      </c>
      <c r="O291" s="7"/>
      <c r="P291" s="9"/>
      <c r="Q291" s="5"/>
    </row>
    <row r="292" spans="1:17" hidden="1" x14ac:dyDescent="0.3">
      <c r="A292" s="9" t="s">
        <v>107</v>
      </c>
      <c r="B292" s="9" t="s">
        <v>69</v>
      </c>
      <c r="C292" s="7" t="s">
        <v>69</v>
      </c>
      <c r="D292" s="7">
        <f>(D290+D291)</f>
        <v>0</v>
      </c>
      <c r="E292" s="7">
        <f>(E290+E291)</f>
        <v>0</v>
      </c>
      <c r="F292" s="7">
        <v>0</v>
      </c>
      <c r="G292" s="7">
        <v>0</v>
      </c>
      <c r="H292" s="7">
        <v>0</v>
      </c>
      <c r="I292" s="7">
        <f>(I290+I291)</f>
        <v>0</v>
      </c>
      <c r="J292" s="7">
        <v>0</v>
      </c>
      <c r="K292" s="7">
        <v>0</v>
      </c>
      <c r="L292" s="7">
        <v>0</v>
      </c>
      <c r="M292" s="9" t="s">
        <v>69</v>
      </c>
      <c r="N292" s="9" t="s">
        <v>69</v>
      </c>
      <c r="O292" s="7"/>
      <c r="P292" s="9"/>
      <c r="Q292" s="5"/>
    </row>
    <row r="293" spans="1:17" hidden="1" x14ac:dyDescent="0.3">
      <c r="A293" s="9" t="s">
        <v>108</v>
      </c>
      <c r="B293" s="9">
        <v>0</v>
      </c>
      <c r="C293" s="14" t="e">
        <v>#DIV/0!</v>
      </c>
      <c r="D293" s="9" t="e">
        <f>(D292/D288)*100</f>
        <v>#DIV/0!</v>
      </c>
      <c r="E293" s="9" t="e">
        <f>(E292/E288)*100</f>
        <v>#DIV/0!</v>
      </c>
      <c r="F293" s="14">
        <v>0</v>
      </c>
      <c r="G293" s="14">
        <v>0</v>
      </c>
      <c r="H293" s="14">
        <v>0</v>
      </c>
      <c r="I293" s="9" t="e">
        <f>(I292/I288)*100</f>
        <v>#DIV/0!</v>
      </c>
      <c r="J293" s="14">
        <v>0</v>
      </c>
      <c r="K293" s="14">
        <v>0</v>
      </c>
      <c r="L293" s="14">
        <v>0</v>
      </c>
      <c r="M293" s="9">
        <v>0</v>
      </c>
      <c r="N293" s="9">
        <v>0</v>
      </c>
      <c r="O293" s="14"/>
      <c r="P293" s="9"/>
      <c r="Q293" s="5"/>
    </row>
    <row r="294" spans="1:17" hidden="1" x14ac:dyDescent="0.3">
      <c r="A294" s="9" t="s">
        <v>47</v>
      </c>
      <c r="B294" s="9">
        <v>0</v>
      </c>
      <c r="C294" s="21" t="e">
        <v>#DIV/0!</v>
      </c>
      <c r="D294" s="21" t="e">
        <f>+D293*0.01</f>
        <v>#DIV/0!</v>
      </c>
      <c r="E294" s="21" t="e">
        <f>+E293*0.01</f>
        <v>#DIV/0!</v>
      </c>
      <c r="F294" s="21">
        <v>0</v>
      </c>
      <c r="G294" s="21">
        <v>0</v>
      </c>
      <c r="H294" s="21">
        <v>0</v>
      </c>
      <c r="I294" s="21" t="e">
        <f>+I293*0.01</f>
        <v>#DIV/0!</v>
      </c>
      <c r="J294" s="21">
        <v>0</v>
      </c>
      <c r="K294" s="21">
        <v>0</v>
      </c>
      <c r="L294" s="21">
        <v>0</v>
      </c>
      <c r="M294" s="9">
        <v>0</v>
      </c>
      <c r="N294" s="9">
        <v>0</v>
      </c>
      <c r="O294" s="21"/>
      <c r="P294" s="9"/>
      <c r="Q294" s="5"/>
    </row>
    <row r="295" spans="1:17" hidden="1" x14ac:dyDescent="0.3">
      <c r="C295" s="14"/>
      <c r="F295" s="14"/>
      <c r="G295" s="14"/>
      <c r="H295" s="14"/>
      <c r="J295" s="14"/>
      <c r="K295" s="14"/>
      <c r="L295" s="14"/>
      <c r="O295" s="14"/>
      <c r="P295" s="9"/>
      <c r="Q295" s="5"/>
    </row>
    <row r="296" spans="1:17" hidden="1" x14ac:dyDescent="0.3">
      <c r="C296" s="14"/>
      <c r="F296" s="14"/>
      <c r="G296" s="14"/>
      <c r="H296" s="14"/>
      <c r="J296" s="14"/>
      <c r="K296" s="14"/>
      <c r="L296" s="14"/>
      <c r="O296" s="14"/>
      <c r="P296" s="9"/>
      <c r="Q296" s="5"/>
    </row>
    <row r="297" spans="1:17" hidden="1" x14ac:dyDescent="0.3">
      <c r="A297" s="9" t="s">
        <v>12</v>
      </c>
      <c r="B297" s="9">
        <v>0</v>
      </c>
      <c r="C297" s="14">
        <v>0</v>
      </c>
      <c r="D297" s="9">
        <f>(D286*D287*52)</f>
        <v>0</v>
      </c>
      <c r="E297" s="9">
        <f>(E286*E287*52)</f>
        <v>0</v>
      </c>
      <c r="F297" s="14">
        <v>0</v>
      </c>
      <c r="G297" s="14">
        <v>0</v>
      </c>
      <c r="H297" s="14">
        <v>0</v>
      </c>
      <c r="I297" s="9">
        <f>(I286*I287*52)</f>
        <v>0</v>
      </c>
      <c r="J297" s="14">
        <v>0</v>
      </c>
      <c r="K297" s="14">
        <v>0</v>
      </c>
      <c r="L297" s="14">
        <v>0</v>
      </c>
      <c r="M297" s="9">
        <v>0</v>
      </c>
      <c r="N297" s="9">
        <v>0</v>
      </c>
      <c r="O297" s="14"/>
      <c r="P297" s="9"/>
      <c r="Q297" s="5"/>
    </row>
    <row r="298" spans="1:17" hidden="1" x14ac:dyDescent="0.3">
      <c r="A298" s="9" t="s">
        <v>13</v>
      </c>
      <c r="B298" s="9">
        <v>-21500</v>
      </c>
      <c r="C298" s="14">
        <v>-21500</v>
      </c>
      <c r="D298" s="9">
        <f>(D286*D287*52)-21500</f>
        <v>-21500</v>
      </c>
      <c r="E298" s="9">
        <f>(E286*E287*52)-21500</f>
        <v>-21500</v>
      </c>
      <c r="F298" s="14">
        <v>-21500</v>
      </c>
      <c r="G298" s="14">
        <v>-21500</v>
      </c>
      <c r="H298" s="14">
        <v>-21500</v>
      </c>
      <c r="I298" s="9">
        <f>(I286*I287*52)-21500</f>
        <v>-21500</v>
      </c>
      <c r="J298" s="14">
        <v>-21500</v>
      </c>
      <c r="K298" s="14">
        <v>-21500</v>
      </c>
      <c r="L298" s="14">
        <v>-21500</v>
      </c>
      <c r="M298" s="9">
        <v>-21500</v>
      </c>
      <c r="N298" s="9">
        <v>-21500</v>
      </c>
      <c r="O298" s="14"/>
      <c r="P298" s="9"/>
      <c r="Q298" s="5"/>
    </row>
    <row r="299" spans="1:17" x14ac:dyDescent="0.3">
      <c r="P299" s="9"/>
      <c r="Q299" s="5"/>
    </row>
    <row r="300" spans="1:17" ht="15.6" x14ac:dyDescent="0.3">
      <c r="A300" s="11" t="s">
        <v>109</v>
      </c>
      <c r="B300" s="58">
        <v>3.14</v>
      </c>
      <c r="C300" s="64">
        <v>1.42</v>
      </c>
      <c r="D300" s="64">
        <v>2.46</v>
      </c>
      <c r="E300" s="64">
        <v>5.6</v>
      </c>
      <c r="F300" s="64">
        <v>1.35</v>
      </c>
      <c r="G300" s="64">
        <v>6.61</v>
      </c>
      <c r="H300" s="64">
        <v>2.84</v>
      </c>
      <c r="I300" s="57">
        <f>(+I13+I30+I47+I65+I84+I103+I122+I141+I160+I179+I198+I217+I235+I254+I273+I292)/(+I9+I26+I43+I61+I80+I98+I117+I136+I155+I174+I193+I212+I231+I250+I269+I288)</f>
        <v>1.9840454751259349</v>
      </c>
      <c r="J300" s="64">
        <v>2.61</v>
      </c>
      <c r="K300" s="64">
        <v>3.13</v>
      </c>
      <c r="L300" s="64">
        <v>2.3199999999999998</v>
      </c>
      <c r="M300" s="64">
        <v>3.79</v>
      </c>
      <c r="N300" s="64">
        <v>0.99</v>
      </c>
      <c r="O300" s="28"/>
      <c r="P300" s="9">
        <f>SUM((B300:O300))</f>
        <v>38.244045475125937</v>
      </c>
      <c r="Q300" s="13">
        <f>SUM(P300/13)</f>
        <v>2.9418496519327642</v>
      </c>
    </row>
    <row r="301" spans="1:17" x14ac:dyDescent="0.3">
      <c r="C301"/>
      <c r="D301"/>
      <c r="E301"/>
      <c r="F301"/>
      <c r="G301"/>
      <c r="H301"/>
      <c r="I301"/>
      <c r="J301"/>
      <c r="K301"/>
      <c r="L301"/>
      <c r="M301"/>
      <c r="N301"/>
      <c r="P301" s="9"/>
      <c r="Q301" s="5"/>
    </row>
    <row r="302" spans="1:17" x14ac:dyDescent="0.3">
      <c r="A302" s="9" t="s">
        <v>110</v>
      </c>
      <c r="B302" s="59">
        <v>3122</v>
      </c>
      <c r="C302" s="59">
        <v>872</v>
      </c>
      <c r="D302" s="59">
        <v>2485</v>
      </c>
      <c r="E302" s="59">
        <v>3746</v>
      </c>
      <c r="F302" s="59">
        <v>1046</v>
      </c>
      <c r="G302" s="59">
        <v>1434</v>
      </c>
      <c r="H302" s="59">
        <v>1989</v>
      </c>
      <c r="I302">
        <f>+I4+I21+I38+I55+I92+I111+I130+I149+I168+I187+I225+I263+I282+I244+I206+I74</f>
        <v>11211</v>
      </c>
      <c r="J302" s="59">
        <v>4222</v>
      </c>
      <c r="K302" s="59">
        <v>2374</v>
      </c>
      <c r="L302" s="59">
        <v>1718</v>
      </c>
      <c r="M302" s="59">
        <v>3388</v>
      </c>
      <c r="N302" s="59">
        <v>308</v>
      </c>
      <c r="O302" s="14"/>
      <c r="P302" s="9">
        <f>SUM((B302:O302))</f>
        <v>37915</v>
      </c>
      <c r="Q302" s="5"/>
    </row>
    <row r="303" spans="1:17" x14ac:dyDescent="0.3">
      <c r="A303" s="9" t="s">
        <v>111</v>
      </c>
      <c r="B303" s="59">
        <v>2106</v>
      </c>
      <c r="C303" s="59">
        <v>217</v>
      </c>
      <c r="D303" s="59">
        <v>1510</v>
      </c>
      <c r="E303" s="59">
        <v>2482</v>
      </c>
      <c r="F303" s="59">
        <v>625</v>
      </c>
      <c r="G303" s="59">
        <v>815</v>
      </c>
      <c r="H303" s="59">
        <v>1754</v>
      </c>
      <c r="I303">
        <f>+I5+I22+I39+I56+I93+I112+I131+I150+I169+I188+I226+I264+I283+I245</f>
        <v>6553</v>
      </c>
      <c r="J303" s="59">
        <v>2457</v>
      </c>
      <c r="K303" s="59">
        <v>1524</v>
      </c>
      <c r="L303" s="59">
        <v>1186</v>
      </c>
      <c r="M303" s="59">
        <v>2602</v>
      </c>
      <c r="N303" s="59">
        <v>149</v>
      </c>
      <c r="O303" s="14"/>
      <c r="P303" s="9">
        <f>SUM((B303:O303))</f>
        <v>23980</v>
      </c>
      <c r="Q303" s="5"/>
    </row>
    <row r="304" spans="1:17" x14ac:dyDescent="0.3">
      <c r="A304" s="9" t="s">
        <v>112</v>
      </c>
      <c r="B304" s="59">
        <v>1032</v>
      </c>
      <c r="C304" s="59">
        <v>209</v>
      </c>
      <c r="D304" s="59">
        <v>723</v>
      </c>
      <c r="E304" s="59">
        <v>1185</v>
      </c>
      <c r="F304" s="59">
        <v>219</v>
      </c>
      <c r="G304" s="59">
        <v>688</v>
      </c>
      <c r="H304" s="59">
        <v>751</v>
      </c>
      <c r="I304">
        <f>+I6+I23+I40+I57+I94+I113+I132+I151+I170+I189+I227+I265+I284+I246+I208+I76</f>
        <v>2117</v>
      </c>
      <c r="J304" s="59">
        <v>1433</v>
      </c>
      <c r="K304" s="59">
        <v>861</v>
      </c>
      <c r="L304" s="59">
        <v>341</v>
      </c>
      <c r="M304" s="59">
        <v>1607</v>
      </c>
      <c r="N304" s="59">
        <v>36</v>
      </c>
      <c r="O304" s="14"/>
      <c r="P304" s="9">
        <f>SUM((B304:O304))</f>
        <v>11202</v>
      </c>
      <c r="Q304" s="5"/>
    </row>
    <row r="305" spans="1:17" x14ac:dyDescent="0.3">
      <c r="A305" s="9" t="s">
        <v>113</v>
      </c>
      <c r="B305" s="60">
        <v>28377596</v>
      </c>
      <c r="C305" s="60">
        <v>8216580</v>
      </c>
      <c r="D305" s="60">
        <v>25971325</v>
      </c>
      <c r="E305" s="60">
        <v>48485914</v>
      </c>
      <c r="F305" s="60">
        <v>4759666</v>
      </c>
      <c r="G305" s="60">
        <v>53740085</v>
      </c>
      <c r="H305" s="60">
        <v>25466178</v>
      </c>
      <c r="I305" s="62">
        <f>+I10+I27+I44+I99+I118+I137+I156+I175+I195+I213+I62+I289+I270+I251+I232</f>
        <v>55809999.439999998</v>
      </c>
      <c r="J305" s="60">
        <v>35504458</v>
      </c>
      <c r="K305" s="60">
        <v>23082095</v>
      </c>
      <c r="L305" s="60">
        <v>13708311</v>
      </c>
      <c r="M305" s="60">
        <v>40370929</v>
      </c>
      <c r="N305" s="60">
        <v>879095</v>
      </c>
      <c r="O305" s="29"/>
      <c r="P305" s="32">
        <f>SUM((B305:O305))</f>
        <v>364372231.44</v>
      </c>
      <c r="Q305" s="5"/>
    </row>
    <row r="306" spans="1:17" x14ac:dyDescent="0.3">
      <c r="B306"/>
      <c r="C306"/>
      <c r="D306"/>
      <c r="E306"/>
      <c r="F306"/>
      <c r="G306"/>
      <c r="H306"/>
      <c r="I306"/>
      <c r="J306"/>
      <c r="K306"/>
      <c r="L306"/>
      <c r="M306"/>
      <c r="N306"/>
      <c r="P306" s="9"/>
      <c r="Q306" s="5"/>
    </row>
    <row r="307" spans="1:17" x14ac:dyDescent="0.3">
      <c r="A307" s="9" t="s">
        <v>114</v>
      </c>
      <c r="B307" s="59">
        <v>2595</v>
      </c>
      <c r="C307" s="59">
        <v>0</v>
      </c>
      <c r="D307" s="59">
        <v>1417</v>
      </c>
      <c r="E307" s="59">
        <v>2944</v>
      </c>
      <c r="F307" s="59">
        <v>584</v>
      </c>
      <c r="G307" s="59">
        <v>0</v>
      </c>
      <c r="H307" s="59">
        <v>1381</v>
      </c>
      <c r="I307">
        <f>+I4+I21+I38</f>
        <v>10783</v>
      </c>
      <c r="J307" s="59">
        <v>3103</v>
      </c>
      <c r="K307" s="59">
        <v>1720</v>
      </c>
      <c r="L307" s="59">
        <v>1424</v>
      </c>
      <c r="M307" s="59">
        <v>2520</v>
      </c>
      <c r="N307" s="59">
        <v>279</v>
      </c>
      <c r="O307" s="14"/>
      <c r="P307" s="9">
        <f>SUM((B307:O307))</f>
        <v>28750</v>
      </c>
      <c r="Q307" s="5"/>
    </row>
    <row r="308" spans="1:17" x14ac:dyDescent="0.3">
      <c r="A308" s="9" t="s">
        <v>115</v>
      </c>
      <c r="B308" s="59">
        <v>481</v>
      </c>
      <c r="C308" s="59">
        <v>806</v>
      </c>
      <c r="D308" s="59">
        <v>947</v>
      </c>
      <c r="E308" s="59">
        <v>715</v>
      </c>
      <c r="F308" s="59">
        <v>405</v>
      </c>
      <c r="G308" s="59">
        <v>1434</v>
      </c>
      <c r="H308" s="59">
        <v>537</v>
      </c>
      <c r="I308">
        <f>+I92+I111+I130+I149+I168+I187+I206+I55+I282+I225+I244+I263</f>
        <v>362</v>
      </c>
      <c r="J308" s="59">
        <v>915</v>
      </c>
      <c r="K308" s="59">
        <v>572</v>
      </c>
      <c r="L308" s="59">
        <v>274</v>
      </c>
      <c r="M308" s="59">
        <v>766</v>
      </c>
      <c r="N308" s="59">
        <v>19</v>
      </c>
      <c r="O308" s="14"/>
      <c r="P308" s="9">
        <f>SUM((B308:O308))</f>
        <v>8233</v>
      </c>
      <c r="Q308" s="5"/>
    </row>
    <row r="309" spans="1:17" x14ac:dyDescent="0.3">
      <c r="B309"/>
      <c r="C309"/>
      <c r="D309"/>
      <c r="E309"/>
      <c r="F309"/>
      <c r="G309"/>
      <c r="H309"/>
      <c r="I309"/>
      <c r="J309"/>
      <c r="K309"/>
      <c r="L309"/>
      <c r="M309"/>
      <c r="N309"/>
      <c r="P309" s="9"/>
      <c r="Q309" s="5"/>
    </row>
    <row r="310" spans="1:17" x14ac:dyDescent="0.3">
      <c r="A310" s="9" t="s">
        <v>116</v>
      </c>
      <c r="B310" s="60">
        <v>9019890</v>
      </c>
      <c r="C310" s="60">
        <v>2961399</v>
      </c>
      <c r="D310" s="60">
        <v>8787224</v>
      </c>
      <c r="E310" s="60">
        <v>16669098</v>
      </c>
      <c r="F310" s="60">
        <v>1497023</v>
      </c>
      <c r="G310" s="60">
        <v>20149450</v>
      </c>
      <c r="H310" s="60">
        <v>8749100</v>
      </c>
      <c r="I310" s="62">
        <f>+I11+I28+I45+I63+I82+I100+I119+I138+I157+I176+I195+I214+I233+I252+I271+I290</f>
        <v>17285852.72648</v>
      </c>
      <c r="J310" s="60">
        <v>11235924</v>
      </c>
      <c r="K310" s="60">
        <v>7231399</v>
      </c>
      <c r="L310" s="60">
        <v>4601087</v>
      </c>
      <c r="M310" s="60">
        <v>12517784</v>
      </c>
      <c r="N310" s="60">
        <v>279226</v>
      </c>
      <c r="O310" s="29"/>
      <c r="P310" s="32">
        <f>SUM((B310:O310))</f>
        <v>120984456.72648001</v>
      </c>
      <c r="Q310" s="5"/>
    </row>
    <row r="311" spans="1:17" x14ac:dyDescent="0.3">
      <c r="A311" s="9" t="s">
        <v>117</v>
      </c>
      <c r="B311" s="60">
        <v>5068948</v>
      </c>
      <c r="C311" s="60">
        <v>44433</v>
      </c>
      <c r="D311" s="60">
        <v>1131442</v>
      </c>
      <c r="E311" s="60">
        <v>4892630</v>
      </c>
      <c r="F311" s="60">
        <v>842295</v>
      </c>
      <c r="G311" s="60">
        <v>272993</v>
      </c>
      <c r="H311" s="60">
        <v>2105035</v>
      </c>
      <c r="I311" s="62">
        <f>+I12+I29+I46+I64+I83+I101+I120+I177+I196+I234+I253+I272+I291</f>
        <v>12072172.9464</v>
      </c>
      <c r="J311" s="60">
        <v>6135794</v>
      </c>
      <c r="K311" s="60">
        <v>3096650</v>
      </c>
      <c r="L311" s="60">
        <v>1112496</v>
      </c>
      <c r="M311" s="60">
        <v>7760814</v>
      </c>
      <c r="N311" s="60">
        <v>210672</v>
      </c>
      <c r="O311" s="29"/>
      <c r="P311" s="32">
        <f>SUM((B311:O311))</f>
        <v>44746374.946400002</v>
      </c>
      <c r="Q311" s="5"/>
    </row>
    <row r="312" spans="1:17" x14ac:dyDescent="0.3">
      <c r="A312" s="9" t="s">
        <v>118</v>
      </c>
      <c r="B312"/>
      <c r="C312"/>
      <c r="D312"/>
      <c r="E312"/>
      <c r="F312"/>
      <c r="G312"/>
      <c r="H312"/>
      <c r="I312"/>
      <c r="J312"/>
      <c r="K312"/>
      <c r="L312"/>
      <c r="M312"/>
      <c r="N312"/>
      <c r="O312" s="14"/>
      <c r="P312" s="9"/>
      <c r="Q312" s="5"/>
    </row>
    <row r="313" spans="1:17" x14ac:dyDescent="0.3"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7" x14ac:dyDescent="0.3">
      <c r="A314" s="9" t="s">
        <v>119</v>
      </c>
      <c r="B314" s="61">
        <v>4486933</v>
      </c>
      <c r="C314" s="61">
        <v>2118443</v>
      </c>
      <c r="D314" s="61">
        <v>4027574</v>
      </c>
      <c r="E314" s="61">
        <v>3849684</v>
      </c>
      <c r="F314" s="61">
        <v>1745898</v>
      </c>
      <c r="G314" s="61">
        <v>3091712</v>
      </c>
      <c r="H314" s="61">
        <v>3823096</v>
      </c>
      <c r="I314" s="63">
        <f>+I9+I26+I43+I61+I98+I117+I136+I155+I174+I193+I231+I269+I288+I250+I212+I80</f>
        <v>14797052.810000001</v>
      </c>
      <c r="J314" s="61">
        <v>6644210</v>
      </c>
      <c r="K314" s="61">
        <v>3301922</v>
      </c>
      <c r="L314" s="61">
        <v>2467909</v>
      </c>
      <c r="M314" s="61">
        <v>5353860</v>
      </c>
      <c r="N314" s="61">
        <v>494718</v>
      </c>
      <c r="O314" s="30"/>
    </row>
    <row r="316" spans="1:17" x14ac:dyDescent="0.3">
      <c r="I316" s="30"/>
    </row>
    <row r="317" spans="1:17" x14ac:dyDescent="0.3">
      <c r="A317" s="9" t="s">
        <v>120</v>
      </c>
    </row>
    <row r="318" spans="1:17" x14ac:dyDescent="0.3">
      <c r="A318" s="9" t="s">
        <v>121</v>
      </c>
    </row>
    <row r="319" spans="1:17" x14ac:dyDescent="0.3">
      <c r="A319" s="9" t="s">
        <v>152</v>
      </c>
    </row>
    <row r="321" spans="1:1" x14ac:dyDescent="0.3">
      <c r="A321" s="9" t="s">
        <v>122</v>
      </c>
    </row>
    <row r="322" spans="1:1" x14ac:dyDescent="0.3">
      <c r="A322" s="9" t="s">
        <v>148</v>
      </c>
    </row>
    <row r="324" spans="1:1" x14ac:dyDescent="0.3">
      <c r="A324" s="9" t="s">
        <v>149</v>
      </c>
    </row>
    <row r="325" spans="1:1" x14ac:dyDescent="0.3">
      <c r="A325" s="9" t="s">
        <v>123</v>
      </c>
    </row>
    <row r="326" spans="1:1" x14ac:dyDescent="0.3">
      <c r="A326" s="9" t="s">
        <v>150</v>
      </c>
    </row>
    <row r="328" spans="1:1" x14ac:dyDescent="0.3">
      <c r="A328" s="46" t="s">
        <v>124</v>
      </c>
    </row>
    <row r="330" spans="1:1" x14ac:dyDescent="0.3">
      <c r="A330" s="9" t="s">
        <v>125</v>
      </c>
    </row>
    <row r="332" spans="1:1" x14ac:dyDescent="0.3">
      <c r="A332" s="9" t="s">
        <v>151</v>
      </c>
    </row>
    <row r="333" spans="1:1" x14ac:dyDescent="0.3">
      <c r="A333" s="9" t="s">
        <v>126</v>
      </c>
    </row>
    <row r="334" spans="1:1" x14ac:dyDescent="0.3">
      <c r="A334" s="9" t="s">
        <v>127</v>
      </c>
    </row>
    <row r="335" spans="1:1" x14ac:dyDescent="0.3">
      <c r="A335" s="9" t="s">
        <v>128</v>
      </c>
    </row>
  </sheetData>
  <hyperlinks>
    <hyperlink ref="A328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K7" sqref="K7"/>
    </sheetView>
  </sheetViews>
  <sheetFormatPr defaultRowHeight="14.4" x14ac:dyDescent="0.3"/>
  <cols>
    <col min="1" max="1" width="35.44140625" customWidth="1"/>
    <col min="2" max="2" width="11" customWidth="1"/>
    <col min="3" max="3" width="13.33203125" customWidth="1"/>
    <col min="4" max="4" width="13.109375" customWidth="1"/>
    <col min="5" max="5" width="13.88671875" customWidth="1"/>
  </cols>
  <sheetData>
    <row r="1" spans="1:5" ht="30" customHeight="1" x14ac:dyDescent="0.3">
      <c r="A1" s="68"/>
      <c r="B1" s="68"/>
      <c r="C1" s="77" t="s">
        <v>159</v>
      </c>
      <c r="D1" s="77" t="s">
        <v>161</v>
      </c>
      <c r="E1" s="77" t="s">
        <v>160</v>
      </c>
    </row>
    <row r="2" spans="1:5" ht="30" customHeight="1" thickBot="1" x14ac:dyDescent="0.35">
      <c r="A2" s="80" t="s">
        <v>109</v>
      </c>
      <c r="B2" s="81">
        <v>2.94</v>
      </c>
      <c r="C2" s="73"/>
      <c r="D2" s="73"/>
      <c r="E2" s="73"/>
    </row>
    <row r="3" spans="1:5" ht="30" customHeight="1" thickTop="1" x14ac:dyDescent="0.3">
      <c r="A3" s="74" t="s">
        <v>0</v>
      </c>
      <c r="B3" s="75">
        <v>2.67</v>
      </c>
      <c r="C3" s="76">
        <v>20289</v>
      </c>
      <c r="D3" s="76">
        <v>12026</v>
      </c>
      <c r="E3" s="76">
        <v>4578</v>
      </c>
    </row>
    <row r="4" spans="1:5" ht="30" customHeight="1" x14ac:dyDescent="0.3">
      <c r="A4" s="71" t="s">
        <v>14</v>
      </c>
      <c r="B4" s="70">
        <v>5.36</v>
      </c>
      <c r="C4" s="68">
        <v>6211</v>
      </c>
      <c r="D4" s="68">
        <v>5407</v>
      </c>
      <c r="E4" s="68">
        <v>2179</v>
      </c>
    </row>
    <row r="5" spans="1:5" ht="30" customHeight="1" x14ac:dyDescent="0.3">
      <c r="A5" s="69" t="s">
        <v>155</v>
      </c>
      <c r="B5" s="70">
        <v>4</v>
      </c>
      <c r="C5" s="68">
        <v>2250</v>
      </c>
      <c r="D5" s="68">
        <v>1958</v>
      </c>
      <c r="E5" s="68">
        <v>386</v>
      </c>
    </row>
    <row r="6" spans="1:5" ht="30" customHeight="1" x14ac:dyDescent="0.3">
      <c r="A6" s="71" t="s">
        <v>156</v>
      </c>
      <c r="B6" s="70">
        <v>1.64</v>
      </c>
      <c r="C6" s="68">
        <v>1173</v>
      </c>
      <c r="D6" s="68">
        <v>632</v>
      </c>
      <c r="E6" s="68">
        <v>481</v>
      </c>
    </row>
    <row r="7" spans="1:5" ht="30" customHeight="1" x14ac:dyDescent="0.3">
      <c r="A7" s="71" t="s">
        <v>48</v>
      </c>
      <c r="B7" s="70">
        <v>0.69</v>
      </c>
      <c r="C7" s="68">
        <v>932</v>
      </c>
      <c r="D7" s="68">
        <v>402</v>
      </c>
      <c r="E7" s="68">
        <v>272</v>
      </c>
    </row>
    <row r="8" spans="1:5" ht="30" customHeight="1" x14ac:dyDescent="0.3">
      <c r="A8" s="71" t="s">
        <v>157</v>
      </c>
      <c r="B8" s="70">
        <v>3.46</v>
      </c>
      <c r="C8" s="68">
        <v>1917</v>
      </c>
      <c r="D8" s="68">
        <v>1137</v>
      </c>
      <c r="E8" s="68">
        <v>977</v>
      </c>
    </row>
    <row r="9" spans="1:5" ht="30" customHeight="1" thickBot="1" x14ac:dyDescent="0.35">
      <c r="A9" s="78" t="s">
        <v>158</v>
      </c>
      <c r="B9" s="72">
        <v>3.48</v>
      </c>
      <c r="C9" s="73">
        <v>3616</v>
      </c>
      <c r="D9" s="73">
        <v>2280</v>
      </c>
      <c r="E9" s="73">
        <v>1967</v>
      </c>
    </row>
    <row r="10" spans="1:5" ht="43.8" customHeight="1" thickTop="1" x14ac:dyDescent="0.3">
      <c r="A10" s="79" t="s">
        <v>162</v>
      </c>
      <c r="B10" s="76"/>
      <c r="C10" s="76">
        <v>37915</v>
      </c>
      <c r="D10" s="76">
        <v>23980</v>
      </c>
      <c r="E10" s="76">
        <v>11202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2018-19</vt:lpstr>
      <vt:lpstr>Summary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Kilzer, Anne</dc:creator>
  <cp:lastModifiedBy>Carol</cp:lastModifiedBy>
  <dcterms:created xsi:type="dcterms:W3CDTF">2019-05-08T19:59:14Z</dcterms:created>
  <dcterms:modified xsi:type="dcterms:W3CDTF">2020-10-18T19:09:26Z</dcterms:modified>
</cp:coreProperties>
</file>